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" yWindow="960" windowWidth="21105" windowHeight="6000"/>
  </bookViews>
  <sheets>
    <sheet name="Бр" sheetId="1" r:id="rId1"/>
    <sheet name="Показатели Бр" sheetId="5" r:id="rId2"/>
  </sheets>
  <definedNames>
    <definedName name="_xlnm.Print_Titles" localSheetId="0">Бр!$4:$7</definedName>
    <definedName name="_xlnm.Print_Area" localSheetId="0">Бр!$A$1:$T$317</definedName>
    <definedName name="_xlnm.Print_Area" localSheetId="1">'Показатели Бр'!$A$1:$H$239</definedName>
  </definedNames>
  <calcPr calcId="145621" fullPrecision="0" concurrentCalc="0"/>
</workbook>
</file>

<file path=xl/calcChain.xml><?xml version="1.0" encoding="utf-8"?>
<calcChain xmlns="http://schemas.openxmlformats.org/spreadsheetml/2006/main">
  <c r="G94" i="5" l="1"/>
  <c r="F233" i="5"/>
  <c r="G202" i="5"/>
  <c r="G196" i="5"/>
  <c r="G198" i="5"/>
  <c r="G199" i="5"/>
  <c r="G200" i="5"/>
  <c r="G201" i="5"/>
  <c r="G195" i="5"/>
  <c r="D216" i="1"/>
  <c r="I216" i="1"/>
  <c r="I226" i="1"/>
  <c r="I227" i="1"/>
  <c r="I225" i="1"/>
  <c r="D225" i="1"/>
  <c r="I212" i="1"/>
  <c r="D212" i="1"/>
  <c r="I265" i="1"/>
  <c r="D265" i="1"/>
  <c r="J140" i="1"/>
  <c r="D140" i="1"/>
  <c r="E140" i="1"/>
  <c r="L279" i="1"/>
  <c r="K279" i="1"/>
  <c r="F279" i="1"/>
  <c r="G279" i="1"/>
  <c r="I282" i="1"/>
  <c r="D282" i="1"/>
  <c r="K168" i="1"/>
  <c r="L168" i="1"/>
  <c r="J168" i="1"/>
  <c r="F168" i="1"/>
  <c r="E168" i="1"/>
  <c r="I50" i="1"/>
  <c r="R53" i="1"/>
  <c r="Q53" i="1"/>
  <c r="P52" i="1"/>
  <c r="P53" i="1"/>
  <c r="O52" i="1"/>
  <c r="O53" i="1"/>
  <c r="S53" i="1"/>
  <c r="T53" i="1"/>
  <c r="S52" i="1"/>
  <c r="T52" i="1"/>
  <c r="G213" i="5"/>
  <c r="G212" i="5"/>
  <c r="G211" i="5"/>
  <c r="G210" i="5"/>
  <c r="G209" i="5"/>
  <c r="G207" i="5"/>
  <c r="G206" i="5"/>
  <c r="G204" i="5"/>
  <c r="T293" i="1"/>
  <c r="S293" i="1"/>
  <c r="R293" i="1"/>
  <c r="Q293" i="1"/>
  <c r="I293" i="1"/>
  <c r="D293" i="1"/>
  <c r="C293" i="1"/>
  <c r="T292" i="1"/>
  <c r="S292" i="1"/>
  <c r="R292" i="1"/>
  <c r="Q292" i="1"/>
  <c r="I292" i="1"/>
  <c r="H292" i="1"/>
  <c r="D292" i="1"/>
  <c r="T291" i="1"/>
  <c r="S291" i="1"/>
  <c r="R291" i="1"/>
  <c r="Q291" i="1"/>
  <c r="I291" i="1"/>
  <c r="H291" i="1"/>
  <c r="D291" i="1"/>
  <c r="C291" i="1"/>
  <c r="K290" i="1"/>
  <c r="K289" i="1"/>
  <c r="J290" i="1"/>
  <c r="G290" i="1"/>
  <c r="G289" i="1"/>
  <c r="F290" i="1"/>
  <c r="F289" i="1"/>
  <c r="E290" i="1"/>
  <c r="E289" i="1"/>
  <c r="L289" i="1"/>
  <c r="T288" i="1"/>
  <c r="S288" i="1"/>
  <c r="R288" i="1"/>
  <c r="Q288" i="1"/>
  <c r="I288" i="1"/>
  <c r="D288" i="1"/>
  <c r="C288" i="1"/>
  <c r="T287" i="1"/>
  <c r="S287" i="1"/>
  <c r="R287" i="1"/>
  <c r="Q287" i="1"/>
  <c r="I287" i="1"/>
  <c r="D287" i="1"/>
  <c r="C287" i="1"/>
  <c r="T286" i="1"/>
  <c r="S286" i="1"/>
  <c r="R286" i="1"/>
  <c r="Q286" i="1"/>
  <c r="I286" i="1"/>
  <c r="D286" i="1"/>
  <c r="C286" i="1"/>
  <c r="T285" i="1"/>
  <c r="S285" i="1"/>
  <c r="R285" i="1"/>
  <c r="Q285" i="1"/>
  <c r="I285" i="1"/>
  <c r="D285" i="1"/>
  <c r="C285" i="1"/>
  <c r="K284" i="1"/>
  <c r="J284" i="1"/>
  <c r="G284" i="1"/>
  <c r="F284" i="1"/>
  <c r="F283" i="1"/>
  <c r="E284" i="1"/>
  <c r="L283" i="1"/>
  <c r="G283" i="1"/>
  <c r="T282" i="1"/>
  <c r="S282" i="1"/>
  <c r="R282" i="1"/>
  <c r="Q282" i="1"/>
  <c r="O282" i="1"/>
  <c r="H282" i="1"/>
  <c r="C282" i="1"/>
  <c r="T281" i="1"/>
  <c r="S281" i="1"/>
  <c r="R281" i="1"/>
  <c r="Q281" i="1"/>
  <c r="I281" i="1"/>
  <c r="D281" i="1"/>
  <c r="T280" i="1"/>
  <c r="S280" i="1"/>
  <c r="J280" i="1"/>
  <c r="I280" i="1"/>
  <c r="E280" i="1"/>
  <c r="E279" i="1"/>
  <c r="D280" i="1"/>
  <c r="K278" i="1"/>
  <c r="G278" i="1"/>
  <c r="F278" i="1"/>
  <c r="L278" i="1"/>
  <c r="D279" i="1"/>
  <c r="O293" i="1"/>
  <c r="J279" i="1"/>
  <c r="J278" i="1"/>
  <c r="H281" i="1"/>
  <c r="I279" i="1"/>
  <c r="P280" i="1"/>
  <c r="O286" i="1"/>
  <c r="O288" i="1"/>
  <c r="L277" i="1"/>
  <c r="D290" i="1"/>
  <c r="D289" i="1"/>
  <c r="P281" i="1"/>
  <c r="C280" i="1"/>
  <c r="M282" i="1"/>
  <c r="O292" i="1"/>
  <c r="P293" i="1"/>
  <c r="N291" i="1"/>
  <c r="G277" i="1"/>
  <c r="T289" i="1"/>
  <c r="R284" i="1"/>
  <c r="Q290" i="1"/>
  <c r="P282" i="1"/>
  <c r="P291" i="1"/>
  <c r="R280" i="1"/>
  <c r="O285" i="1"/>
  <c r="O287" i="1"/>
  <c r="O291" i="1"/>
  <c r="P292" i="1"/>
  <c r="H293" i="1"/>
  <c r="N293" i="1"/>
  <c r="H280" i="1"/>
  <c r="M280" i="1"/>
  <c r="C281" i="1"/>
  <c r="O281" i="1"/>
  <c r="C292" i="1"/>
  <c r="N292" i="1"/>
  <c r="E283" i="1"/>
  <c r="R290" i="1"/>
  <c r="S289" i="1"/>
  <c r="T279" i="1"/>
  <c r="N282" i="1"/>
  <c r="Q284" i="1"/>
  <c r="J289" i="1"/>
  <c r="Q289" i="1"/>
  <c r="T290" i="1"/>
  <c r="S284" i="1"/>
  <c r="S278" i="1"/>
  <c r="T278" i="1"/>
  <c r="O280" i="1"/>
  <c r="T284" i="1"/>
  <c r="P285" i="1"/>
  <c r="P286" i="1"/>
  <c r="P287" i="1"/>
  <c r="P288" i="1"/>
  <c r="M291" i="1"/>
  <c r="J283" i="1"/>
  <c r="D284" i="1"/>
  <c r="I290" i="1"/>
  <c r="F277" i="1"/>
  <c r="S279" i="1"/>
  <c r="K283" i="1"/>
  <c r="S283" i="1"/>
  <c r="I284" i="1"/>
  <c r="S290" i="1"/>
  <c r="Q280" i="1"/>
  <c r="C279" i="1"/>
  <c r="H285" i="1"/>
  <c r="M285" i="1"/>
  <c r="H286" i="1"/>
  <c r="M286" i="1"/>
  <c r="H287" i="1"/>
  <c r="M287" i="1"/>
  <c r="H288" i="1"/>
  <c r="M288" i="1"/>
  <c r="J232" i="1"/>
  <c r="J231" i="1"/>
  <c r="K232" i="1"/>
  <c r="K231" i="1"/>
  <c r="L232" i="1"/>
  <c r="L231" i="1"/>
  <c r="I232" i="1"/>
  <c r="I231" i="1"/>
  <c r="C233" i="1"/>
  <c r="C234" i="1"/>
  <c r="C235" i="1"/>
  <c r="C236" i="1"/>
  <c r="C237" i="1"/>
  <c r="C238" i="1"/>
  <c r="C239" i="1"/>
  <c r="C240" i="1"/>
  <c r="C241" i="1"/>
  <c r="E232" i="1"/>
  <c r="E231" i="1"/>
  <c r="F232" i="1"/>
  <c r="F231" i="1"/>
  <c r="G232" i="1"/>
  <c r="G231" i="1"/>
  <c r="D232" i="1"/>
  <c r="G164" i="5"/>
  <c r="G165" i="5"/>
  <c r="G163" i="5"/>
  <c r="G234" i="5"/>
  <c r="G233" i="5"/>
  <c r="G144" i="5"/>
  <c r="T225" i="1"/>
  <c r="T226" i="1"/>
  <c r="T227" i="1"/>
  <c r="T228" i="1"/>
  <c r="S225" i="1"/>
  <c r="S226" i="1"/>
  <c r="S227" i="1"/>
  <c r="S228" i="1"/>
  <c r="R225" i="1"/>
  <c r="R226" i="1"/>
  <c r="R227" i="1"/>
  <c r="R228" i="1"/>
  <c r="Q225" i="1"/>
  <c r="Q226" i="1"/>
  <c r="Q227" i="1"/>
  <c r="Q228" i="1"/>
  <c r="P225" i="1"/>
  <c r="P226" i="1"/>
  <c r="P227" i="1"/>
  <c r="P228" i="1"/>
  <c r="O225" i="1"/>
  <c r="O226" i="1"/>
  <c r="O227" i="1"/>
  <c r="O228" i="1"/>
  <c r="H225" i="1"/>
  <c r="H226" i="1"/>
  <c r="H227" i="1"/>
  <c r="H228" i="1"/>
  <c r="C225" i="1"/>
  <c r="J224" i="1"/>
  <c r="J223" i="1"/>
  <c r="K224" i="1"/>
  <c r="K223" i="1"/>
  <c r="L224" i="1"/>
  <c r="L223" i="1"/>
  <c r="I224" i="1"/>
  <c r="I223" i="1"/>
  <c r="E224" i="1"/>
  <c r="E223" i="1"/>
  <c r="G224" i="1"/>
  <c r="G223" i="1"/>
  <c r="D224" i="1"/>
  <c r="D223" i="1"/>
  <c r="C226" i="1"/>
  <c r="C227" i="1"/>
  <c r="C228" i="1"/>
  <c r="C229" i="1"/>
  <c r="C230" i="1"/>
  <c r="P290" i="1"/>
  <c r="M281" i="1"/>
  <c r="N281" i="1"/>
  <c r="C290" i="1"/>
  <c r="Q283" i="1"/>
  <c r="M293" i="1"/>
  <c r="N280" i="1"/>
  <c r="P279" i="1"/>
  <c r="D278" i="1"/>
  <c r="M292" i="1"/>
  <c r="C232" i="1"/>
  <c r="R289" i="1"/>
  <c r="J277" i="1"/>
  <c r="D283" i="1"/>
  <c r="P284" i="1"/>
  <c r="C284" i="1"/>
  <c r="T283" i="1"/>
  <c r="R283" i="1"/>
  <c r="C289" i="1"/>
  <c r="I278" i="1"/>
  <c r="O279" i="1"/>
  <c r="H279" i="1"/>
  <c r="M279" i="1"/>
  <c r="N288" i="1"/>
  <c r="N287" i="1"/>
  <c r="O284" i="1"/>
  <c r="H284" i="1"/>
  <c r="I283" i="1"/>
  <c r="I289" i="1"/>
  <c r="O290" i="1"/>
  <c r="H290" i="1"/>
  <c r="E278" i="1"/>
  <c r="Q279" i="1"/>
  <c r="R279" i="1"/>
  <c r="N286" i="1"/>
  <c r="K277" i="1"/>
  <c r="S277" i="1"/>
  <c r="N285" i="1"/>
  <c r="M228" i="1"/>
  <c r="D231" i="1"/>
  <c r="C231" i="1"/>
  <c r="N225" i="1"/>
  <c r="N227" i="1"/>
  <c r="M226" i="1"/>
  <c r="M225" i="1"/>
  <c r="N228" i="1"/>
  <c r="N226" i="1"/>
  <c r="M227" i="1"/>
  <c r="F224" i="1"/>
  <c r="F223" i="1"/>
  <c r="M290" i="1"/>
  <c r="C278" i="1"/>
  <c r="P278" i="1"/>
  <c r="M284" i="1"/>
  <c r="N279" i="1"/>
  <c r="T277" i="1"/>
  <c r="H289" i="1"/>
  <c r="M289" i="1"/>
  <c r="O289" i="1"/>
  <c r="P289" i="1"/>
  <c r="N284" i="1"/>
  <c r="N290" i="1"/>
  <c r="H278" i="1"/>
  <c r="O278" i="1"/>
  <c r="I277" i="1"/>
  <c r="P283" i="1"/>
  <c r="C283" i="1"/>
  <c r="E277" i="1"/>
  <c r="R278" i="1"/>
  <c r="Q278" i="1"/>
  <c r="H283" i="1"/>
  <c r="O283" i="1"/>
  <c r="D277" i="1"/>
  <c r="C224" i="1"/>
  <c r="M278" i="1"/>
  <c r="M283" i="1"/>
  <c r="N278" i="1"/>
  <c r="C277" i="1"/>
  <c r="P277" i="1"/>
  <c r="R277" i="1"/>
  <c r="Q277" i="1"/>
  <c r="O277" i="1"/>
  <c r="H277" i="1"/>
  <c r="N283" i="1"/>
  <c r="N289" i="1"/>
  <c r="J210" i="1"/>
  <c r="K210" i="1"/>
  <c r="L210" i="1"/>
  <c r="I210" i="1"/>
  <c r="E210" i="1"/>
  <c r="E209" i="1"/>
  <c r="F210" i="1"/>
  <c r="G210" i="1"/>
  <c r="D210" i="1"/>
  <c r="D209" i="1"/>
  <c r="T214" i="1"/>
  <c r="S214" i="1"/>
  <c r="H214" i="1"/>
  <c r="C214" i="1"/>
  <c r="Q214" i="1"/>
  <c r="R214" i="1"/>
  <c r="O214" i="1"/>
  <c r="P214" i="1"/>
  <c r="H211" i="1"/>
  <c r="H212" i="1"/>
  <c r="H213" i="1"/>
  <c r="T213" i="1"/>
  <c r="S213" i="1"/>
  <c r="R213" i="1"/>
  <c r="Q213" i="1"/>
  <c r="P213" i="1"/>
  <c r="O213" i="1"/>
  <c r="C213" i="1"/>
  <c r="M277" i="1"/>
  <c r="N277" i="1"/>
  <c r="N213" i="1"/>
  <c r="N214" i="1"/>
  <c r="H210" i="1"/>
  <c r="C210" i="1"/>
  <c r="M214" i="1"/>
  <c r="M213" i="1"/>
  <c r="I198" i="1"/>
  <c r="I194" i="1"/>
  <c r="D202" i="1"/>
  <c r="D201" i="1"/>
  <c r="D205" i="1"/>
  <c r="H204" i="1"/>
  <c r="J202" i="1"/>
  <c r="K202" i="1"/>
  <c r="L202" i="1"/>
  <c r="I202" i="1"/>
  <c r="F202" i="1"/>
  <c r="G202" i="1"/>
  <c r="E202" i="1"/>
  <c r="T204" i="1"/>
  <c r="S204" i="1"/>
  <c r="R204" i="1"/>
  <c r="Q204" i="1"/>
  <c r="P204" i="1"/>
  <c r="O204" i="1"/>
  <c r="C204" i="1"/>
  <c r="C206" i="1"/>
  <c r="D194" i="1"/>
  <c r="D198" i="1"/>
  <c r="J194" i="1"/>
  <c r="K194" i="1"/>
  <c r="L194" i="1"/>
  <c r="E194" i="1"/>
  <c r="F194" i="1"/>
  <c r="G194" i="1"/>
  <c r="N210" i="1"/>
  <c r="N204" i="1"/>
  <c r="C202" i="1"/>
  <c r="D193" i="1"/>
  <c r="D192" i="1"/>
  <c r="M204" i="1"/>
  <c r="I193" i="1"/>
  <c r="G114" i="5"/>
  <c r="I173" i="1"/>
  <c r="I172" i="1"/>
  <c r="D173" i="1"/>
  <c r="D172" i="1"/>
  <c r="L172" i="1"/>
  <c r="G172" i="1"/>
  <c r="H169" i="1"/>
  <c r="H170" i="1"/>
  <c r="H171" i="1"/>
  <c r="C169" i="1"/>
  <c r="C170" i="1"/>
  <c r="C171" i="1"/>
  <c r="T169" i="1"/>
  <c r="T170" i="1"/>
  <c r="T171" i="1"/>
  <c r="S169" i="1"/>
  <c r="S170" i="1"/>
  <c r="S171" i="1"/>
  <c r="R169" i="1"/>
  <c r="R170" i="1"/>
  <c r="R171" i="1"/>
  <c r="Q169" i="1"/>
  <c r="Q170" i="1"/>
  <c r="Q171" i="1"/>
  <c r="P169" i="1"/>
  <c r="P170" i="1"/>
  <c r="P171" i="1"/>
  <c r="O169" i="1"/>
  <c r="O170" i="1"/>
  <c r="O171" i="1"/>
  <c r="J166" i="1"/>
  <c r="L166" i="1"/>
  <c r="I168" i="1"/>
  <c r="E166" i="1"/>
  <c r="F166" i="1"/>
  <c r="G168" i="1"/>
  <c r="G166" i="1"/>
  <c r="D168" i="1"/>
  <c r="H174" i="1"/>
  <c r="C174" i="1"/>
  <c r="C175" i="1"/>
  <c r="I167" i="1"/>
  <c r="D167" i="1"/>
  <c r="G98" i="5"/>
  <c r="I67" i="1"/>
  <c r="S72" i="1"/>
  <c r="T72" i="1"/>
  <c r="R72" i="1"/>
  <c r="D67" i="1"/>
  <c r="G39" i="5"/>
  <c r="G46" i="5"/>
  <c r="G47" i="5"/>
  <c r="G48" i="5"/>
  <c r="G49" i="5"/>
  <c r="G50" i="5"/>
  <c r="G45" i="5"/>
  <c r="H61" i="1"/>
  <c r="H62" i="1"/>
  <c r="H63" i="1"/>
  <c r="H64" i="1"/>
  <c r="H65" i="1"/>
  <c r="C61" i="1"/>
  <c r="C62" i="1"/>
  <c r="C63" i="1"/>
  <c r="C64" i="1"/>
  <c r="C65" i="1"/>
  <c r="T61" i="1"/>
  <c r="T62" i="1"/>
  <c r="T63" i="1"/>
  <c r="T64" i="1"/>
  <c r="T65" i="1"/>
  <c r="S61" i="1"/>
  <c r="S62" i="1"/>
  <c r="S63" i="1"/>
  <c r="S64" i="1"/>
  <c r="S65" i="1"/>
  <c r="R61" i="1"/>
  <c r="R62" i="1"/>
  <c r="R63" i="1"/>
  <c r="R64" i="1"/>
  <c r="R65" i="1"/>
  <c r="Q61" i="1"/>
  <c r="Q62" i="1"/>
  <c r="Q63" i="1"/>
  <c r="Q64" i="1"/>
  <c r="Q65" i="1"/>
  <c r="P61" i="1"/>
  <c r="P62" i="1"/>
  <c r="P63" i="1"/>
  <c r="P64" i="1"/>
  <c r="P65" i="1"/>
  <c r="O61" i="1"/>
  <c r="O62" i="1"/>
  <c r="O63" i="1"/>
  <c r="O64" i="1"/>
  <c r="O65" i="1"/>
  <c r="J60" i="1"/>
  <c r="J58" i="1"/>
  <c r="K60" i="1"/>
  <c r="K58" i="1"/>
  <c r="L60" i="1"/>
  <c r="I60" i="1"/>
  <c r="I58" i="1"/>
  <c r="E60" i="1"/>
  <c r="R60" i="1"/>
  <c r="F60" i="1"/>
  <c r="G60" i="1"/>
  <c r="G58" i="1"/>
  <c r="D60" i="1"/>
  <c r="D58" i="1"/>
  <c r="I55" i="1"/>
  <c r="D55" i="1"/>
  <c r="S60" i="1"/>
  <c r="N170" i="1"/>
  <c r="D166" i="1"/>
  <c r="D165" i="1"/>
  <c r="I166" i="1"/>
  <c r="I165" i="1"/>
  <c r="T168" i="1"/>
  <c r="H168" i="1"/>
  <c r="M170" i="1"/>
  <c r="K166" i="1"/>
  <c r="C168" i="1"/>
  <c r="M171" i="1"/>
  <c r="O168" i="1"/>
  <c r="P168" i="1"/>
  <c r="M169" i="1"/>
  <c r="S168" i="1"/>
  <c r="N171" i="1"/>
  <c r="Q168" i="1"/>
  <c r="R168" i="1"/>
  <c r="N169" i="1"/>
  <c r="N62" i="1"/>
  <c r="N63" i="1"/>
  <c r="F58" i="1"/>
  <c r="M64" i="1"/>
  <c r="N64" i="1"/>
  <c r="P60" i="1"/>
  <c r="E58" i="1"/>
  <c r="M63" i="1"/>
  <c r="H60" i="1"/>
  <c r="O60" i="1"/>
  <c r="M65" i="1"/>
  <c r="T60" i="1"/>
  <c r="C60" i="1"/>
  <c r="Q60" i="1"/>
  <c r="N65" i="1"/>
  <c r="M61" i="1"/>
  <c r="N61" i="1"/>
  <c r="M62" i="1"/>
  <c r="N168" i="1"/>
  <c r="M168" i="1"/>
  <c r="N60" i="1"/>
  <c r="M60" i="1"/>
  <c r="G32" i="5"/>
  <c r="J21" i="1"/>
  <c r="K21" i="1"/>
  <c r="L21" i="1"/>
  <c r="I21" i="1"/>
  <c r="E21" i="1"/>
  <c r="F21" i="1"/>
  <c r="G21" i="1"/>
  <c r="D21" i="1"/>
  <c r="J42" i="1"/>
  <c r="K42" i="1"/>
  <c r="L42" i="1"/>
  <c r="I42" i="1"/>
  <c r="H43" i="1"/>
  <c r="C43" i="1"/>
  <c r="E42" i="1"/>
  <c r="F42" i="1"/>
  <c r="G42" i="1"/>
  <c r="D42" i="1"/>
  <c r="H39" i="1"/>
  <c r="H40" i="1"/>
  <c r="H41" i="1"/>
  <c r="C39" i="1"/>
  <c r="C40" i="1"/>
  <c r="C41" i="1"/>
  <c r="T39" i="1"/>
  <c r="T40" i="1"/>
  <c r="T41" i="1"/>
  <c r="S39" i="1"/>
  <c r="S40" i="1"/>
  <c r="S41" i="1"/>
  <c r="R39" i="1"/>
  <c r="R40" i="1"/>
  <c r="R41" i="1"/>
  <c r="Q39" i="1"/>
  <c r="Q40" i="1"/>
  <c r="Q41" i="1"/>
  <c r="P39" i="1"/>
  <c r="P40" i="1"/>
  <c r="P41" i="1"/>
  <c r="O39" i="1"/>
  <c r="O40" i="1"/>
  <c r="O41" i="1"/>
  <c r="J38" i="1"/>
  <c r="K38" i="1"/>
  <c r="L38" i="1"/>
  <c r="I38" i="1"/>
  <c r="E38" i="1"/>
  <c r="F38" i="1"/>
  <c r="G38" i="1"/>
  <c r="D38" i="1"/>
  <c r="C42" i="1"/>
  <c r="N39" i="1"/>
  <c r="D36" i="1"/>
  <c r="H42" i="1"/>
  <c r="N41" i="1"/>
  <c r="M41" i="1"/>
  <c r="N40" i="1"/>
  <c r="M39" i="1"/>
  <c r="M40" i="1"/>
  <c r="G24" i="1"/>
  <c r="E24" i="1"/>
  <c r="D24" i="1"/>
  <c r="J275" i="1"/>
  <c r="K275" i="1"/>
  <c r="L275" i="1"/>
  <c r="I275" i="1"/>
  <c r="E275" i="1"/>
  <c r="F275" i="1"/>
  <c r="G275" i="1"/>
  <c r="D275" i="1"/>
  <c r="O310" i="1"/>
  <c r="Q310" i="1"/>
  <c r="T310" i="1"/>
  <c r="T311" i="1"/>
  <c r="S310" i="1"/>
  <c r="S311" i="1"/>
  <c r="R310" i="1"/>
  <c r="R311" i="1"/>
  <c r="Q311" i="1"/>
  <c r="P310" i="1"/>
  <c r="P311" i="1"/>
  <c r="O311" i="1"/>
  <c r="J309" i="1"/>
  <c r="K309" i="1"/>
  <c r="L309" i="1"/>
  <c r="I309" i="1"/>
  <c r="H310" i="1"/>
  <c r="H311" i="1"/>
  <c r="C310" i="1"/>
  <c r="C311" i="1"/>
  <c r="E309" i="1"/>
  <c r="F309" i="1"/>
  <c r="T309" i="1"/>
  <c r="G309" i="1"/>
  <c r="D309" i="1"/>
  <c r="P309" i="1"/>
  <c r="E303" i="1"/>
  <c r="F303" i="1"/>
  <c r="D303" i="1"/>
  <c r="J303" i="1"/>
  <c r="K303" i="1"/>
  <c r="L303" i="1"/>
  <c r="I303" i="1"/>
  <c r="M310" i="1"/>
  <c r="M311" i="1"/>
  <c r="S309" i="1"/>
  <c r="Q309" i="1"/>
  <c r="N311" i="1"/>
  <c r="R309" i="1"/>
  <c r="C309" i="1"/>
  <c r="N310" i="1"/>
  <c r="O309" i="1"/>
  <c r="H309" i="1"/>
  <c r="H303" i="1"/>
  <c r="M309" i="1"/>
  <c r="N309" i="1"/>
  <c r="T308" i="1"/>
  <c r="S308" i="1"/>
  <c r="R308" i="1"/>
  <c r="Q308" i="1"/>
  <c r="P308" i="1"/>
  <c r="O308" i="1"/>
  <c r="H308" i="1"/>
  <c r="C308" i="1"/>
  <c r="N308" i="1"/>
  <c r="M308" i="1"/>
  <c r="I299" i="1"/>
  <c r="I295" i="1"/>
  <c r="I294" i="1"/>
  <c r="D295" i="1"/>
  <c r="C298" i="1"/>
  <c r="T298" i="1"/>
  <c r="S298" i="1"/>
  <c r="R298" i="1"/>
  <c r="Q298" i="1"/>
  <c r="P298" i="1"/>
  <c r="O298" i="1"/>
  <c r="H297" i="1"/>
  <c r="H298" i="1"/>
  <c r="M298" i="1"/>
  <c r="N298" i="1"/>
  <c r="J52" i="1"/>
  <c r="E52" i="1"/>
  <c r="H53" i="1"/>
  <c r="C53" i="1"/>
  <c r="I51" i="1"/>
  <c r="D51" i="1"/>
  <c r="D50" i="1"/>
  <c r="I49" i="1"/>
  <c r="D49" i="1"/>
  <c r="C52" i="1"/>
  <c r="R52" i="1"/>
  <c r="H52" i="1"/>
  <c r="Q52" i="1"/>
  <c r="D48" i="1"/>
  <c r="D47" i="1"/>
  <c r="N53" i="1"/>
  <c r="M53" i="1"/>
  <c r="T164" i="1"/>
  <c r="S164" i="1"/>
  <c r="R164" i="1"/>
  <c r="Q164" i="1"/>
  <c r="I164" i="1"/>
  <c r="D164" i="1"/>
  <c r="P164" i="1"/>
  <c r="L163" i="1"/>
  <c r="K163" i="1"/>
  <c r="J163" i="1"/>
  <c r="I163" i="1"/>
  <c r="G163" i="1"/>
  <c r="F163" i="1"/>
  <c r="T163" i="1"/>
  <c r="E163" i="1"/>
  <c r="R163" i="1"/>
  <c r="T162" i="1"/>
  <c r="S162" i="1"/>
  <c r="R162" i="1"/>
  <c r="Q162" i="1"/>
  <c r="I162" i="1"/>
  <c r="H162" i="1"/>
  <c r="D162" i="1"/>
  <c r="T161" i="1"/>
  <c r="S161" i="1"/>
  <c r="R161" i="1"/>
  <c r="Q161" i="1"/>
  <c r="I161" i="1"/>
  <c r="H161" i="1"/>
  <c r="D161" i="1"/>
  <c r="T160" i="1"/>
  <c r="S160" i="1"/>
  <c r="R160" i="1"/>
  <c r="Q160" i="1"/>
  <c r="I160" i="1"/>
  <c r="D160" i="1"/>
  <c r="G159" i="1"/>
  <c r="F159" i="1"/>
  <c r="T159" i="1"/>
  <c r="E159" i="1"/>
  <c r="R159" i="1"/>
  <c r="T158" i="1"/>
  <c r="S158" i="1"/>
  <c r="L158" i="1"/>
  <c r="L152" i="1"/>
  <c r="L151" i="1"/>
  <c r="J158" i="1"/>
  <c r="I158" i="1"/>
  <c r="G158" i="1"/>
  <c r="G152" i="1"/>
  <c r="E158" i="1"/>
  <c r="D158" i="1"/>
  <c r="T157" i="1"/>
  <c r="S157" i="1"/>
  <c r="R157" i="1"/>
  <c r="Q157" i="1"/>
  <c r="I157" i="1"/>
  <c r="H157" i="1"/>
  <c r="D157" i="1"/>
  <c r="C157" i="1"/>
  <c r="T156" i="1"/>
  <c r="S156" i="1"/>
  <c r="R156" i="1"/>
  <c r="Q156" i="1"/>
  <c r="I156" i="1"/>
  <c r="H156" i="1"/>
  <c r="D156" i="1"/>
  <c r="C156" i="1"/>
  <c r="T155" i="1"/>
  <c r="S155" i="1"/>
  <c r="R155" i="1"/>
  <c r="Q155" i="1"/>
  <c r="I155" i="1"/>
  <c r="H155" i="1"/>
  <c r="D155" i="1"/>
  <c r="C155" i="1"/>
  <c r="T154" i="1"/>
  <c r="S154" i="1"/>
  <c r="R154" i="1"/>
  <c r="Q154" i="1"/>
  <c r="I154" i="1"/>
  <c r="D154" i="1"/>
  <c r="C154" i="1"/>
  <c r="T153" i="1"/>
  <c r="S153" i="1"/>
  <c r="P153" i="1"/>
  <c r="O153" i="1"/>
  <c r="J153" i="1"/>
  <c r="H153" i="1"/>
  <c r="E153" i="1"/>
  <c r="K152" i="1"/>
  <c r="F152" i="1"/>
  <c r="T150" i="1"/>
  <c r="S150" i="1"/>
  <c r="J150" i="1"/>
  <c r="I150" i="1"/>
  <c r="E150" i="1"/>
  <c r="D150" i="1"/>
  <c r="T149" i="1"/>
  <c r="S149" i="1"/>
  <c r="J149" i="1"/>
  <c r="I149" i="1"/>
  <c r="E149" i="1"/>
  <c r="D149" i="1"/>
  <c r="K148" i="1"/>
  <c r="K146" i="1"/>
  <c r="F148" i="1"/>
  <c r="T147" i="1"/>
  <c r="S147" i="1"/>
  <c r="J147" i="1"/>
  <c r="I147" i="1"/>
  <c r="E147" i="1"/>
  <c r="D147" i="1"/>
  <c r="L146" i="1"/>
  <c r="G146" i="1"/>
  <c r="T145" i="1"/>
  <c r="S145" i="1"/>
  <c r="J145" i="1"/>
  <c r="I145" i="1"/>
  <c r="E145" i="1"/>
  <c r="D145" i="1"/>
  <c r="T144" i="1"/>
  <c r="S144" i="1"/>
  <c r="J144" i="1"/>
  <c r="I144" i="1"/>
  <c r="E144" i="1"/>
  <c r="D144" i="1"/>
  <c r="L143" i="1"/>
  <c r="K143" i="1"/>
  <c r="G143" i="1"/>
  <c r="F143" i="1"/>
  <c r="T142" i="1"/>
  <c r="S142" i="1"/>
  <c r="J142" i="1"/>
  <c r="E142" i="1"/>
  <c r="T141" i="1"/>
  <c r="S141" i="1"/>
  <c r="R141" i="1"/>
  <c r="Q141" i="1"/>
  <c r="I141" i="1"/>
  <c r="H141" i="1"/>
  <c r="D141" i="1"/>
  <c r="C141" i="1"/>
  <c r="T140" i="1"/>
  <c r="S140" i="1"/>
  <c r="L140" i="1"/>
  <c r="L139" i="1"/>
  <c r="J139" i="1"/>
  <c r="I140" i="1"/>
  <c r="G140" i="1"/>
  <c r="G139" i="1"/>
  <c r="E139" i="1"/>
  <c r="D139" i="1"/>
  <c r="K139" i="1"/>
  <c r="F139" i="1"/>
  <c r="N52" i="1"/>
  <c r="G138" i="1"/>
  <c r="M52" i="1"/>
  <c r="H158" i="1"/>
  <c r="L138" i="1"/>
  <c r="L137" i="1"/>
  <c r="R158" i="1"/>
  <c r="D159" i="1"/>
  <c r="C159" i="1"/>
  <c r="R142" i="1"/>
  <c r="G151" i="1"/>
  <c r="T143" i="1"/>
  <c r="T139" i="1"/>
  <c r="P161" i="1"/>
  <c r="C147" i="1"/>
  <c r="T148" i="1"/>
  <c r="C150" i="1"/>
  <c r="O154" i="1"/>
  <c r="P162" i="1"/>
  <c r="O160" i="1"/>
  <c r="C142" i="1"/>
  <c r="S143" i="1"/>
  <c r="O144" i="1"/>
  <c r="P145" i="1"/>
  <c r="P158" i="1"/>
  <c r="H160" i="1"/>
  <c r="Q158" i="1"/>
  <c r="I159" i="1"/>
  <c r="H159" i="1"/>
  <c r="E143" i="1"/>
  <c r="E138" i="1"/>
  <c r="Q145" i="1"/>
  <c r="N155" i="1"/>
  <c r="Q144" i="1"/>
  <c r="R147" i="1"/>
  <c r="K138" i="1"/>
  <c r="P144" i="1"/>
  <c r="F146" i="1"/>
  <c r="T146" i="1"/>
  <c r="P149" i="1"/>
  <c r="S152" i="1"/>
  <c r="R153" i="1"/>
  <c r="H154" i="1"/>
  <c r="N154" i="1"/>
  <c r="N157" i="1"/>
  <c r="P160" i="1"/>
  <c r="O162" i="1"/>
  <c r="N156" i="1"/>
  <c r="O161" i="1"/>
  <c r="D163" i="1"/>
  <c r="P163" i="1"/>
  <c r="H163" i="1"/>
  <c r="C164" i="1"/>
  <c r="H149" i="1"/>
  <c r="P142" i="1"/>
  <c r="M141" i="1"/>
  <c r="J148" i="1"/>
  <c r="J146" i="1"/>
  <c r="F138" i="1"/>
  <c r="S139" i="1"/>
  <c r="O141" i="1"/>
  <c r="F151" i="1"/>
  <c r="P155" i="1"/>
  <c r="P156" i="1"/>
  <c r="P157" i="1"/>
  <c r="S159" i="1"/>
  <c r="S163" i="1"/>
  <c r="O164" i="1"/>
  <c r="P141" i="1"/>
  <c r="Q142" i="1"/>
  <c r="H144" i="1"/>
  <c r="I143" i="1"/>
  <c r="H147" i="1"/>
  <c r="D148" i="1"/>
  <c r="S148" i="1"/>
  <c r="O149" i="1"/>
  <c r="R150" i="1"/>
  <c r="D152" i="1"/>
  <c r="J152" i="1"/>
  <c r="J151" i="1"/>
  <c r="O155" i="1"/>
  <c r="O156" i="1"/>
  <c r="O157" i="1"/>
  <c r="C158" i="1"/>
  <c r="R149" i="1"/>
  <c r="O158" i="1"/>
  <c r="R139" i="1"/>
  <c r="O142" i="1"/>
  <c r="P154" i="1"/>
  <c r="R140" i="1"/>
  <c r="C139" i="1"/>
  <c r="H150" i="1"/>
  <c r="I148" i="1"/>
  <c r="Q139" i="1"/>
  <c r="H140" i="1"/>
  <c r="I139" i="1"/>
  <c r="P139" i="1"/>
  <c r="O140" i="1"/>
  <c r="N141" i="1"/>
  <c r="D143" i="1"/>
  <c r="J143" i="1"/>
  <c r="H145" i="1"/>
  <c r="O145" i="1"/>
  <c r="S146" i="1"/>
  <c r="C140" i="1"/>
  <c r="Q140" i="1"/>
  <c r="P140" i="1"/>
  <c r="H142" i="1"/>
  <c r="C144" i="1"/>
  <c r="C145" i="1"/>
  <c r="P147" i="1"/>
  <c r="O147" i="1"/>
  <c r="E148" i="1"/>
  <c r="Q149" i="1"/>
  <c r="P150" i="1"/>
  <c r="O150" i="1"/>
  <c r="K151" i="1"/>
  <c r="T152" i="1"/>
  <c r="M155" i="1"/>
  <c r="M156" i="1"/>
  <c r="M157" i="1"/>
  <c r="R145" i="1"/>
  <c r="R144" i="1"/>
  <c r="Q147" i="1"/>
  <c r="C149" i="1"/>
  <c r="Q150" i="1"/>
  <c r="E152" i="1"/>
  <c r="I152" i="1"/>
  <c r="C153" i="1"/>
  <c r="N153" i="1"/>
  <c r="Q153" i="1"/>
  <c r="Q159" i="1"/>
  <c r="C160" i="1"/>
  <c r="C161" i="1"/>
  <c r="N161" i="1"/>
  <c r="C162" i="1"/>
  <c r="N162" i="1"/>
  <c r="H164" i="1"/>
  <c r="Q163" i="1"/>
  <c r="T136" i="1"/>
  <c r="S136" i="1"/>
  <c r="R136" i="1"/>
  <c r="Q136" i="1"/>
  <c r="I136" i="1"/>
  <c r="I135" i="1"/>
  <c r="D136" i="1"/>
  <c r="D135" i="1"/>
  <c r="L135" i="1"/>
  <c r="K135" i="1"/>
  <c r="J135" i="1"/>
  <c r="G135" i="1"/>
  <c r="F135" i="1"/>
  <c r="E135" i="1"/>
  <c r="T134" i="1"/>
  <c r="S134" i="1"/>
  <c r="R134" i="1"/>
  <c r="Q134" i="1"/>
  <c r="I134" i="1"/>
  <c r="D134" i="1"/>
  <c r="T133" i="1"/>
  <c r="S133" i="1"/>
  <c r="R133" i="1"/>
  <c r="Q133" i="1"/>
  <c r="P133" i="1"/>
  <c r="O133" i="1"/>
  <c r="H133" i="1"/>
  <c r="C133" i="1"/>
  <c r="L132" i="1"/>
  <c r="K132" i="1"/>
  <c r="J132" i="1"/>
  <c r="G132" i="1"/>
  <c r="F132" i="1"/>
  <c r="E132" i="1"/>
  <c r="T131" i="1"/>
  <c r="S131" i="1"/>
  <c r="J131" i="1"/>
  <c r="J129" i="1"/>
  <c r="I131" i="1"/>
  <c r="E131" i="1"/>
  <c r="D131" i="1"/>
  <c r="T130" i="1"/>
  <c r="S130" i="1"/>
  <c r="R130" i="1"/>
  <c r="Q130" i="1"/>
  <c r="I130" i="1"/>
  <c r="D130" i="1"/>
  <c r="C130" i="1"/>
  <c r="K129" i="1"/>
  <c r="K128" i="1"/>
  <c r="G129" i="1"/>
  <c r="F129" i="1"/>
  <c r="L128" i="1"/>
  <c r="G128" i="1"/>
  <c r="T127" i="1"/>
  <c r="S127" i="1"/>
  <c r="J127" i="1"/>
  <c r="J126" i="1"/>
  <c r="I127" i="1"/>
  <c r="I126" i="1"/>
  <c r="G127" i="1"/>
  <c r="G126" i="1"/>
  <c r="E127" i="1"/>
  <c r="E126" i="1"/>
  <c r="D127" i="1"/>
  <c r="D126" i="1"/>
  <c r="L126" i="1"/>
  <c r="K126" i="1"/>
  <c r="F126" i="1"/>
  <c r="T125" i="1"/>
  <c r="S125" i="1"/>
  <c r="R125" i="1"/>
  <c r="Q125" i="1"/>
  <c r="I125" i="1"/>
  <c r="D125" i="1"/>
  <c r="C125" i="1"/>
  <c r="T124" i="1"/>
  <c r="S124" i="1"/>
  <c r="R124" i="1"/>
  <c r="Q124" i="1"/>
  <c r="I124" i="1"/>
  <c r="H124" i="1"/>
  <c r="D124" i="1"/>
  <c r="C124" i="1"/>
  <c r="T123" i="1"/>
  <c r="S123" i="1"/>
  <c r="R123" i="1"/>
  <c r="Q123" i="1"/>
  <c r="P123" i="1"/>
  <c r="O123" i="1"/>
  <c r="H123" i="1"/>
  <c r="C123" i="1"/>
  <c r="T122" i="1"/>
  <c r="S122" i="1"/>
  <c r="P122" i="1"/>
  <c r="O122" i="1"/>
  <c r="J122" i="1"/>
  <c r="H122" i="1"/>
  <c r="E122" i="1"/>
  <c r="T121" i="1"/>
  <c r="S121" i="1"/>
  <c r="R121" i="1"/>
  <c r="Q121" i="1"/>
  <c r="I121" i="1"/>
  <c r="D121" i="1"/>
  <c r="C121" i="1"/>
  <c r="T120" i="1"/>
  <c r="S120" i="1"/>
  <c r="R120" i="1"/>
  <c r="Q120" i="1"/>
  <c r="I120" i="1"/>
  <c r="D120" i="1"/>
  <c r="C120" i="1"/>
  <c r="T119" i="1"/>
  <c r="S119" i="1"/>
  <c r="R119" i="1"/>
  <c r="Q119" i="1"/>
  <c r="I119" i="1"/>
  <c r="D119" i="1"/>
  <c r="C119" i="1"/>
  <c r="T118" i="1"/>
  <c r="S118" i="1"/>
  <c r="R118" i="1"/>
  <c r="Q118" i="1"/>
  <c r="I118" i="1"/>
  <c r="D118" i="1"/>
  <c r="T117" i="1"/>
  <c r="S117" i="1"/>
  <c r="R117" i="1"/>
  <c r="Q117" i="1"/>
  <c r="I117" i="1"/>
  <c r="D117" i="1"/>
  <c r="C117" i="1"/>
  <c r="T116" i="1"/>
  <c r="S116" i="1"/>
  <c r="R116" i="1"/>
  <c r="Q116" i="1"/>
  <c r="I116" i="1"/>
  <c r="D116" i="1"/>
  <c r="C116" i="1"/>
  <c r="T115" i="1"/>
  <c r="S115" i="1"/>
  <c r="R115" i="1"/>
  <c r="Q115" i="1"/>
  <c r="I115" i="1"/>
  <c r="D115" i="1"/>
  <c r="C115" i="1"/>
  <c r="T114" i="1"/>
  <c r="S114" i="1"/>
  <c r="R114" i="1"/>
  <c r="Q114" i="1"/>
  <c r="I114" i="1"/>
  <c r="D114" i="1"/>
  <c r="T113" i="1"/>
  <c r="S113" i="1"/>
  <c r="R113" i="1"/>
  <c r="Q113" i="1"/>
  <c r="I113" i="1"/>
  <c r="D113" i="1"/>
  <c r="C113" i="1"/>
  <c r="L112" i="1"/>
  <c r="L110" i="1"/>
  <c r="K112" i="1"/>
  <c r="K110" i="1"/>
  <c r="G112" i="1"/>
  <c r="G110" i="1"/>
  <c r="F112" i="1"/>
  <c r="F110" i="1"/>
  <c r="T111" i="1"/>
  <c r="S111" i="1"/>
  <c r="J111" i="1"/>
  <c r="I111" i="1"/>
  <c r="E111" i="1"/>
  <c r="D111" i="1"/>
  <c r="T109" i="1"/>
  <c r="S109" i="1"/>
  <c r="P109" i="1"/>
  <c r="O109" i="1"/>
  <c r="J109" i="1"/>
  <c r="J106" i="1"/>
  <c r="E109" i="1"/>
  <c r="E106" i="1"/>
  <c r="T108" i="1"/>
  <c r="S108" i="1"/>
  <c r="R108" i="1"/>
  <c r="Q108" i="1"/>
  <c r="I108" i="1"/>
  <c r="D108" i="1"/>
  <c r="C108" i="1"/>
  <c r="T107" i="1"/>
  <c r="S107" i="1"/>
  <c r="R107" i="1"/>
  <c r="Q107" i="1"/>
  <c r="I107" i="1"/>
  <c r="D107" i="1"/>
  <c r="C107" i="1"/>
  <c r="L106" i="1"/>
  <c r="K106" i="1"/>
  <c r="G106" i="1"/>
  <c r="F106" i="1"/>
  <c r="T105" i="1"/>
  <c r="S105" i="1"/>
  <c r="R105" i="1"/>
  <c r="Q105" i="1"/>
  <c r="I105" i="1"/>
  <c r="I99" i="1"/>
  <c r="D105" i="1"/>
  <c r="T104" i="1"/>
  <c r="S104" i="1"/>
  <c r="R104" i="1"/>
  <c r="Q104" i="1"/>
  <c r="I104" i="1"/>
  <c r="D104" i="1"/>
  <c r="C104" i="1"/>
  <c r="T103" i="1"/>
  <c r="S103" i="1"/>
  <c r="R103" i="1"/>
  <c r="Q103" i="1"/>
  <c r="I103" i="1"/>
  <c r="D103" i="1"/>
  <c r="C103" i="1"/>
  <c r="T102" i="1"/>
  <c r="S102" i="1"/>
  <c r="R102" i="1"/>
  <c r="Q102" i="1"/>
  <c r="I102" i="1"/>
  <c r="D102" i="1"/>
  <c r="T101" i="1"/>
  <c r="S101" i="1"/>
  <c r="R101" i="1"/>
  <c r="Q101" i="1"/>
  <c r="I101" i="1"/>
  <c r="D101" i="1"/>
  <c r="L100" i="1"/>
  <c r="K100" i="1"/>
  <c r="J100" i="1"/>
  <c r="G100" i="1"/>
  <c r="F100" i="1"/>
  <c r="E100" i="1"/>
  <c r="T99" i="1"/>
  <c r="S99" i="1"/>
  <c r="J99" i="1"/>
  <c r="E99" i="1"/>
  <c r="T96" i="1"/>
  <c r="S96" i="1"/>
  <c r="R96" i="1"/>
  <c r="Q96" i="1"/>
  <c r="I96" i="1"/>
  <c r="H96" i="1"/>
  <c r="D96" i="1"/>
  <c r="T95" i="1"/>
  <c r="S95" i="1"/>
  <c r="J95" i="1"/>
  <c r="I95" i="1"/>
  <c r="E95" i="1"/>
  <c r="D95" i="1"/>
  <c r="T94" i="1"/>
  <c r="S94" i="1"/>
  <c r="P94" i="1"/>
  <c r="O94" i="1"/>
  <c r="J94" i="1"/>
  <c r="H94" i="1"/>
  <c r="E94" i="1"/>
  <c r="T93" i="1"/>
  <c r="S93" i="1"/>
  <c r="P93" i="1"/>
  <c r="O93" i="1"/>
  <c r="J93" i="1"/>
  <c r="H93" i="1"/>
  <c r="E93" i="1"/>
  <c r="T92" i="1"/>
  <c r="S92" i="1"/>
  <c r="P92" i="1"/>
  <c r="O92" i="1"/>
  <c r="J92" i="1"/>
  <c r="Q92" i="1"/>
  <c r="C92" i="1"/>
  <c r="T91" i="1"/>
  <c r="S91" i="1"/>
  <c r="R91" i="1"/>
  <c r="Q91" i="1"/>
  <c r="I91" i="1"/>
  <c r="D91" i="1"/>
  <c r="C91" i="1"/>
  <c r="H90" i="1"/>
  <c r="C90" i="1"/>
  <c r="T89" i="1"/>
  <c r="S89" i="1"/>
  <c r="R89" i="1"/>
  <c r="Q89" i="1"/>
  <c r="I89" i="1"/>
  <c r="D89" i="1"/>
  <c r="C89" i="1"/>
  <c r="T88" i="1"/>
  <c r="S88" i="1"/>
  <c r="R88" i="1"/>
  <c r="Q88" i="1"/>
  <c r="I88" i="1"/>
  <c r="H88" i="1"/>
  <c r="D88" i="1"/>
  <c r="C88" i="1"/>
  <c r="T87" i="1"/>
  <c r="S87" i="1"/>
  <c r="R87" i="1"/>
  <c r="Q87" i="1"/>
  <c r="I87" i="1"/>
  <c r="H87" i="1"/>
  <c r="D87" i="1"/>
  <c r="T86" i="1"/>
  <c r="S86" i="1"/>
  <c r="R86" i="1"/>
  <c r="Q86" i="1"/>
  <c r="I86" i="1"/>
  <c r="H86" i="1"/>
  <c r="D86" i="1"/>
  <c r="T85" i="1"/>
  <c r="S85" i="1"/>
  <c r="R85" i="1"/>
  <c r="Q85" i="1"/>
  <c r="I85" i="1"/>
  <c r="H85" i="1"/>
  <c r="D85" i="1"/>
  <c r="L84" i="1"/>
  <c r="L82" i="1"/>
  <c r="K84" i="1"/>
  <c r="K82" i="1"/>
  <c r="G84" i="1"/>
  <c r="G82" i="1"/>
  <c r="F84" i="1"/>
  <c r="F82" i="1"/>
  <c r="T83" i="1"/>
  <c r="S83" i="1"/>
  <c r="J83" i="1"/>
  <c r="I83" i="1"/>
  <c r="E83" i="1"/>
  <c r="D83" i="1"/>
  <c r="T81" i="1"/>
  <c r="S81" i="1"/>
  <c r="R81" i="1"/>
  <c r="Q81" i="1"/>
  <c r="I81" i="1"/>
  <c r="D81" i="1"/>
  <c r="C81" i="1"/>
  <c r="T80" i="1"/>
  <c r="S80" i="1"/>
  <c r="R80" i="1"/>
  <c r="Q80" i="1"/>
  <c r="I80" i="1"/>
  <c r="D80" i="1"/>
  <c r="C80" i="1"/>
  <c r="L79" i="1"/>
  <c r="K79" i="1"/>
  <c r="J79" i="1"/>
  <c r="G79" i="1"/>
  <c r="G75" i="1"/>
  <c r="F79" i="1"/>
  <c r="E79" i="1"/>
  <c r="R78" i="1"/>
  <c r="Q78" i="1"/>
  <c r="P78" i="1"/>
  <c r="O78" i="1"/>
  <c r="K78" i="1"/>
  <c r="H78" i="1"/>
  <c r="F78" i="1"/>
  <c r="K77" i="1"/>
  <c r="J77" i="1"/>
  <c r="I77" i="1"/>
  <c r="F77" i="1"/>
  <c r="E77" i="1"/>
  <c r="D77" i="1"/>
  <c r="T76" i="1"/>
  <c r="S76" i="1"/>
  <c r="J76" i="1"/>
  <c r="I76" i="1"/>
  <c r="E76" i="1"/>
  <c r="D76" i="1"/>
  <c r="L75" i="1"/>
  <c r="G137" i="1"/>
  <c r="D151" i="1"/>
  <c r="M158" i="1"/>
  <c r="N159" i="1"/>
  <c r="J112" i="1"/>
  <c r="J110" i="1"/>
  <c r="T151" i="1"/>
  <c r="Q148" i="1"/>
  <c r="M150" i="1"/>
  <c r="M154" i="1"/>
  <c r="J84" i="1"/>
  <c r="P107" i="1"/>
  <c r="O159" i="1"/>
  <c r="R100" i="1"/>
  <c r="O163" i="1"/>
  <c r="C163" i="1"/>
  <c r="N163" i="1"/>
  <c r="O96" i="1"/>
  <c r="P130" i="1"/>
  <c r="M142" i="1"/>
  <c r="M147" i="1"/>
  <c r="Q93" i="1"/>
  <c r="H92" i="1"/>
  <c r="M92" i="1"/>
  <c r="R92" i="1"/>
  <c r="C76" i="1"/>
  <c r="P148" i="1"/>
  <c r="O76" i="1"/>
  <c r="Q77" i="1"/>
  <c r="T79" i="1"/>
  <c r="R93" i="1"/>
  <c r="D79" i="1"/>
  <c r="D75" i="1"/>
  <c r="O87" i="1"/>
  <c r="O103" i="1"/>
  <c r="O115" i="1"/>
  <c r="N160" i="1"/>
  <c r="P152" i="1"/>
  <c r="Q152" i="1"/>
  <c r="S138" i="1"/>
  <c r="F137" i="1"/>
  <c r="D146" i="1"/>
  <c r="K137" i="1"/>
  <c r="T100" i="1"/>
  <c r="O102" i="1"/>
  <c r="R143" i="1"/>
  <c r="O95" i="1"/>
  <c r="P125" i="1"/>
  <c r="P159" i="1"/>
  <c r="N145" i="1"/>
  <c r="H99" i="1"/>
  <c r="Q76" i="1"/>
  <c r="R77" i="1"/>
  <c r="J82" i="1"/>
  <c r="P101" i="1"/>
  <c r="P104" i="1"/>
  <c r="D106" i="1"/>
  <c r="C106" i="1"/>
  <c r="P108" i="1"/>
  <c r="O116" i="1"/>
  <c r="R122" i="1"/>
  <c r="P124" i="1"/>
  <c r="O131" i="1"/>
  <c r="M164" i="1"/>
  <c r="N140" i="1"/>
  <c r="R83" i="1"/>
  <c r="S82" i="1"/>
  <c r="C95" i="1"/>
  <c r="F98" i="1"/>
  <c r="F97" i="1"/>
  <c r="O108" i="1"/>
  <c r="C111" i="1"/>
  <c r="I112" i="1"/>
  <c r="R99" i="1"/>
  <c r="P114" i="1"/>
  <c r="P117" i="1"/>
  <c r="H127" i="1"/>
  <c r="E75" i="1"/>
  <c r="R76" i="1"/>
  <c r="T77" i="1"/>
  <c r="S79" i="1"/>
  <c r="N88" i="1"/>
  <c r="O89" i="1"/>
  <c r="P91" i="1"/>
  <c r="J98" i="1"/>
  <c r="L98" i="1"/>
  <c r="L97" i="1"/>
  <c r="O119" i="1"/>
  <c r="T126" i="1"/>
  <c r="C127" i="1"/>
  <c r="R127" i="1"/>
  <c r="R131" i="1"/>
  <c r="N133" i="1"/>
  <c r="P134" i="1"/>
  <c r="N147" i="1"/>
  <c r="H76" i="1"/>
  <c r="H77" i="1"/>
  <c r="R94" i="1"/>
  <c r="P102" i="1"/>
  <c r="P105" i="1"/>
  <c r="H111" i="1"/>
  <c r="E112" i="1"/>
  <c r="E110" i="1"/>
  <c r="P113" i="1"/>
  <c r="P118" i="1"/>
  <c r="P121" i="1"/>
  <c r="H125" i="1"/>
  <c r="M125" i="1"/>
  <c r="H131" i="1"/>
  <c r="I100" i="1"/>
  <c r="H100" i="1"/>
  <c r="O107" i="1"/>
  <c r="O120" i="1"/>
  <c r="Q127" i="1"/>
  <c r="T138" i="1"/>
  <c r="N149" i="1"/>
  <c r="M149" i="1"/>
  <c r="M161" i="1"/>
  <c r="M153" i="1"/>
  <c r="M144" i="1"/>
  <c r="N144" i="1"/>
  <c r="H152" i="1"/>
  <c r="O152" i="1"/>
  <c r="I151" i="1"/>
  <c r="C148" i="1"/>
  <c r="M160" i="1"/>
  <c r="D138" i="1"/>
  <c r="P143" i="1"/>
  <c r="O143" i="1"/>
  <c r="C143" i="1"/>
  <c r="M140" i="1"/>
  <c r="R152" i="1"/>
  <c r="C152" i="1"/>
  <c r="E151" i="1"/>
  <c r="N164" i="1"/>
  <c r="S151" i="1"/>
  <c r="N150" i="1"/>
  <c r="N142" i="1"/>
  <c r="R148" i="1"/>
  <c r="E146" i="1"/>
  <c r="M145" i="1"/>
  <c r="H148" i="1"/>
  <c r="I146" i="1"/>
  <c r="O148" i="1"/>
  <c r="M162" i="1"/>
  <c r="M159" i="1"/>
  <c r="Q143" i="1"/>
  <c r="H143" i="1"/>
  <c r="J138" i="1"/>
  <c r="J137" i="1"/>
  <c r="O139" i="1"/>
  <c r="H139" i="1"/>
  <c r="M139" i="1"/>
  <c r="I138" i="1"/>
  <c r="G74" i="1"/>
  <c r="T132" i="1"/>
  <c r="S135" i="1"/>
  <c r="S110" i="1"/>
  <c r="M123" i="1"/>
  <c r="C135" i="1"/>
  <c r="T82" i="1"/>
  <c r="F75" i="1"/>
  <c r="F74" i="1"/>
  <c r="Q79" i="1"/>
  <c r="P81" i="1"/>
  <c r="O83" i="1"/>
  <c r="O88" i="1"/>
  <c r="P95" i="1"/>
  <c r="O101" i="1"/>
  <c r="O105" i="1"/>
  <c r="R109" i="1"/>
  <c r="T110" i="1"/>
  <c r="K75" i="1"/>
  <c r="K74" i="1"/>
  <c r="P80" i="1"/>
  <c r="Q83" i="1"/>
  <c r="O85" i="1"/>
  <c r="C93" i="1"/>
  <c r="N93" i="1"/>
  <c r="R95" i="1"/>
  <c r="P96" i="1"/>
  <c r="E98" i="1"/>
  <c r="D99" i="1"/>
  <c r="O99" i="1"/>
  <c r="C102" i="1"/>
  <c r="P103" i="1"/>
  <c r="O104" i="1"/>
  <c r="G98" i="1"/>
  <c r="G97" i="1"/>
  <c r="H107" i="1"/>
  <c r="N107" i="1"/>
  <c r="H108" i="1"/>
  <c r="M108" i="1"/>
  <c r="H109" i="1"/>
  <c r="R111" i="1"/>
  <c r="O113" i="1"/>
  <c r="P116" i="1"/>
  <c r="O117" i="1"/>
  <c r="P120" i="1"/>
  <c r="O121" i="1"/>
  <c r="O124" i="1"/>
  <c r="O125" i="1"/>
  <c r="O127" i="1"/>
  <c r="T129" i="1"/>
  <c r="P131" i="1"/>
  <c r="D132" i="1"/>
  <c r="C132" i="1"/>
  <c r="R132" i="1"/>
  <c r="P136" i="1"/>
  <c r="C94" i="1"/>
  <c r="N94" i="1"/>
  <c r="C96" i="1"/>
  <c r="N96" i="1"/>
  <c r="C101" i="1"/>
  <c r="C105" i="1"/>
  <c r="K98" i="1"/>
  <c r="K97" i="1"/>
  <c r="C114" i="1"/>
  <c r="P115" i="1"/>
  <c r="C118" i="1"/>
  <c r="P119" i="1"/>
  <c r="C122" i="1"/>
  <c r="N122" i="1"/>
  <c r="N123" i="1"/>
  <c r="N124" i="1"/>
  <c r="R126" i="1"/>
  <c r="S126" i="1"/>
  <c r="H130" i="1"/>
  <c r="M130" i="1"/>
  <c r="S132" i="1"/>
  <c r="M133" i="1"/>
  <c r="C134" i="1"/>
  <c r="R135" i="1"/>
  <c r="H136" i="1"/>
  <c r="L74" i="1"/>
  <c r="Q122" i="1"/>
  <c r="S77" i="1"/>
  <c r="I84" i="1"/>
  <c r="I82" i="1"/>
  <c r="P76" i="1"/>
  <c r="C77" i="1"/>
  <c r="T78" i="1"/>
  <c r="O86" i="1"/>
  <c r="Q94" i="1"/>
  <c r="Q99" i="1"/>
  <c r="S100" i="1"/>
  <c r="O114" i="1"/>
  <c r="O118" i="1"/>
  <c r="H126" i="1"/>
  <c r="O130" i="1"/>
  <c r="O134" i="1"/>
  <c r="T135" i="1"/>
  <c r="O136" i="1"/>
  <c r="M88" i="1"/>
  <c r="O77" i="1"/>
  <c r="J75" i="1"/>
  <c r="P77" i="1"/>
  <c r="R79" i="1"/>
  <c r="H83" i="1"/>
  <c r="D84" i="1"/>
  <c r="P85" i="1"/>
  <c r="P86" i="1"/>
  <c r="P87" i="1"/>
  <c r="P88" i="1"/>
  <c r="P89" i="1"/>
  <c r="Q95" i="1"/>
  <c r="C78" i="1"/>
  <c r="N78" i="1"/>
  <c r="C79" i="1"/>
  <c r="H80" i="1"/>
  <c r="O80" i="1"/>
  <c r="H81" i="1"/>
  <c r="M81" i="1"/>
  <c r="O81" i="1"/>
  <c r="C83" i="1"/>
  <c r="E84" i="1"/>
  <c r="E82" i="1"/>
  <c r="C85" i="1"/>
  <c r="N85" i="1"/>
  <c r="C86" i="1"/>
  <c r="N86" i="1"/>
  <c r="C87" i="1"/>
  <c r="N87" i="1"/>
  <c r="H91" i="1"/>
  <c r="M91" i="1"/>
  <c r="O91" i="1"/>
  <c r="H95" i="1"/>
  <c r="P126" i="1"/>
  <c r="C126" i="1"/>
  <c r="P83" i="1"/>
  <c r="P135" i="1"/>
  <c r="S78" i="1"/>
  <c r="I79" i="1"/>
  <c r="H89" i="1"/>
  <c r="M89" i="1"/>
  <c r="Q100" i="1"/>
  <c r="M124" i="1"/>
  <c r="H135" i="1"/>
  <c r="O135" i="1"/>
  <c r="P111" i="1"/>
  <c r="O111" i="1"/>
  <c r="H101" i="1"/>
  <c r="H102" i="1"/>
  <c r="H103" i="1"/>
  <c r="M103" i="1"/>
  <c r="H104" i="1"/>
  <c r="M104" i="1"/>
  <c r="H105" i="1"/>
  <c r="I106" i="1"/>
  <c r="C109" i="1"/>
  <c r="Q109" i="1"/>
  <c r="Q111" i="1"/>
  <c r="H113" i="1"/>
  <c r="M113" i="1"/>
  <c r="H114" i="1"/>
  <c r="H115" i="1"/>
  <c r="M115" i="1"/>
  <c r="H116" i="1"/>
  <c r="M116" i="1"/>
  <c r="H117" i="1"/>
  <c r="M117" i="1"/>
  <c r="H118" i="1"/>
  <c r="H119" i="1"/>
  <c r="M119" i="1"/>
  <c r="H120" i="1"/>
  <c r="M120" i="1"/>
  <c r="H121" i="1"/>
  <c r="M121" i="1"/>
  <c r="O126" i="1"/>
  <c r="P127" i="1"/>
  <c r="F128" i="1"/>
  <c r="T128" i="1"/>
  <c r="J128" i="1"/>
  <c r="D129" i="1"/>
  <c r="C131" i="1"/>
  <c r="I132" i="1"/>
  <c r="Q132" i="1"/>
  <c r="H134" i="1"/>
  <c r="Q135" i="1"/>
  <c r="C136" i="1"/>
  <c r="D100" i="1"/>
  <c r="D112" i="1"/>
  <c r="E129" i="1"/>
  <c r="Q129" i="1"/>
  <c r="I129" i="1"/>
  <c r="Q126" i="1"/>
  <c r="S129" i="1"/>
  <c r="Q131" i="1"/>
  <c r="O79" i="1"/>
  <c r="Q98" i="1"/>
  <c r="P99" i="1"/>
  <c r="N92" i="1"/>
  <c r="M76" i="1"/>
  <c r="H112" i="1"/>
  <c r="N111" i="1"/>
  <c r="C112" i="1"/>
  <c r="N101" i="1"/>
  <c r="M163" i="1"/>
  <c r="N125" i="1"/>
  <c r="M135" i="1"/>
  <c r="M111" i="1"/>
  <c r="M95" i="1"/>
  <c r="T75" i="1"/>
  <c r="O100" i="1"/>
  <c r="I110" i="1"/>
  <c r="H110" i="1"/>
  <c r="M107" i="1"/>
  <c r="I137" i="1"/>
  <c r="Q110" i="1"/>
  <c r="C75" i="1"/>
  <c r="E137" i="1"/>
  <c r="R137" i="1"/>
  <c r="S75" i="1"/>
  <c r="T98" i="1"/>
  <c r="D137" i="1"/>
  <c r="M94" i="1"/>
  <c r="M136" i="1"/>
  <c r="M152" i="1"/>
  <c r="N108" i="1"/>
  <c r="N143" i="1"/>
  <c r="M114" i="1"/>
  <c r="M105" i="1"/>
  <c r="M127" i="1"/>
  <c r="N76" i="1"/>
  <c r="M77" i="1"/>
  <c r="M134" i="1"/>
  <c r="M118" i="1"/>
  <c r="N109" i="1"/>
  <c r="C99" i="1"/>
  <c r="N99" i="1"/>
  <c r="S98" i="1"/>
  <c r="L73" i="1"/>
  <c r="N130" i="1"/>
  <c r="N127" i="1"/>
  <c r="M102" i="1"/>
  <c r="M93" i="1"/>
  <c r="R75" i="1"/>
  <c r="M96" i="1"/>
  <c r="M148" i="1"/>
  <c r="R110" i="1"/>
  <c r="J97" i="1"/>
  <c r="G73" i="1"/>
  <c r="S128" i="1"/>
  <c r="N105" i="1"/>
  <c r="N126" i="1"/>
  <c r="N77" i="1"/>
  <c r="S97" i="1"/>
  <c r="Q138" i="1"/>
  <c r="O146" i="1"/>
  <c r="P146" i="1"/>
  <c r="H146" i="1"/>
  <c r="S137" i="1"/>
  <c r="T137" i="1"/>
  <c r="R151" i="1"/>
  <c r="C151" i="1"/>
  <c r="O138" i="1"/>
  <c r="H138" i="1"/>
  <c r="M143" i="1"/>
  <c r="R138" i="1"/>
  <c r="N152" i="1"/>
  <c r="N148" i="1"/>
  <c r="N139" i="1"/>
  <c r="H151" i="1"/>
  <c r="O151" i="1"/>
  <c r="P151" i="1"/>
  <c r="R146" i="1"/>
  <c r="Q146" i="1"/>
  <c r="C146" i="1"/>
  <c r="Q151" i="1"/>
  <c r="C138" i="1"/>
  <c r="P138" i="1"/>
  <c r="M86" i="1"/>
  <c r="H84" i="1"/>
  <c r="N95" i="1"/>
  <c r="N102" i="1"/>
  <c r="N104" i="1"/>
  <c r="N83" i="1"/>
  <c r="N136" i="1"/>
  <c r="M101" i="1"/>
  <c r="N121" i="1"/>
  <c r="N119" i="1"/>
  <c r="M122" i="1"/>
  <c r="R98" i="1"/>
  <c r="E97" i="1"/>
  <c r="T97" i="1"/>
  <c r="D110" i="1"/>
  <c r="C110" i="1"/>
  <c r="R82" i="1"/>
  <c r="E74" i="1"/>
  <c r="Q82" i="1"/>
  <c r="E128" i="1"/>
  <c r="R128" i="1"/>
  <c r="R129" i="1"/>
  <c r="H132" i="1"/>
  <c r="O132" i="1"/>
  <c r="N120" i="1"/>
  <c r="M109" i="1"/>
  <c r="H79" i="1"/>
  <c r="M79" i="1"/>
  <c r="M80" i="1"/>
  <c r="D98" i="1"/>
  <c r="N91" i="1"/>
  <c r="K73" i="1"/>
  <c r="S74" i="1"/>
  <c r="N131" i="1"/>
  <c r="M131" i="1"/>
  <c r="N116" i="1"/>
  <c r="N103" i="1"/>
  <c r="N118" i="1"/>
  <c r="P132" i="1"/>
  <c r="N115" i="1"/>
  <c r="M83" i="1"/>
  <c r="Q75" i="1"/>
  <c r="J74" i="1"/>
  <c r="I75" i="1"/>
  <c r="M85" i="1"/>
  <c r="N89" i="1"/>
  <c r="T74" i="1"/>
  <c r="N114" i="1"/>
  <c r="I128" i="1"/>
  <c r="O129" i="1"/>
  <c r="H129" i="1"/>
  <c r="M126" i="1"/>
  <c r="N117" i="1"/>
  <c r="F73" i="1"/>
  <c r="P79" i="1"/>
  <c r="M78" i="1"/>
  <c r="M87" i="1"/>
  <c r="N80" i="1"/>
  <c r="P129" i="1"/>
  <c r="C129" i="1"/>
  <c r="D128" i="1"/>
  <c r="N81" i="1"/>
  <c r="P100" i="1"/>
  <c r="C100" i="1"/>
  <c r="N100" i="1"/>
  <c r="H106" i="1"/>
  <c r="I98" i="1"/>
  <c r="N113" i="1"/>
  <c r="N134" i="1"/>
  <c r="N135" i="1"/>
  <c r="C84" i="1"/>
  <c r="H82" i="1"/>
  <c r="D82" i="1"/>
  <c r="O82" i="1"/>
  <c r="M99" i="1"/>
  <c r="N138" i="1"/>
  <c r="M146" i="1"/>
  <c r="M151" i="1"/>
  <c r="C137" i="1"/>
  <c r="P137" i="1"/>
  <c r="O137" i="1"/>
  <c r="H137" i="1"/>
  <c r="N151" i="1"/>
  <c r="Q137" i="1"/>
  <c r="N146" i="1"/>
  <c r="M138" i="1"/>
  <c r="P110" i="1"/>
  <c r="T73" i="1"/>
  <c r="N129" i="1"/>
  <c r="R97" i="1"/>
  <c r="Q97" i="1"/>
  <c r="O110" i="1"/>
  <c r="N79" i="1"/>
  <c r="M110" i="1"/>
  <c r="M100" i="1"/>
  <c r="H128" i="1"/>
  <c r="O128" i="1"/>
  <c r="P98" i="1"/>
  <c r="C98" i="1"/>
  <c r="D97" i="1"/>
  <c r="E73" i="1"/>
  <c r="R74" i="1"/>
  <c r="H98" i="1"/>
  <c r="M98" i="1"/>
  <c r="O98" i="1"/>
  <c r="I97" i="1"/>
  <c r="P128" i="1"/>
  <c r="C128" i="1"/>
  <c r="Q128" i="1"/>
  <c r="H75" i="1"/>
  <c r="O75" i="1"/>
  <c r="I74" i="1"/>
  <c r="P75" i="1"/>
  <c r="N110" i="1"/>
  <c r="P82" i="1"/>
  <c r="C82" i="1"/>
  <c r="N82" i="1"/>
  <c r="D74" i="1"/>
  <c r="M129" i="1"/>
  <c r="Q74" i="1"/>
  <c r="J73" i="1"/>
  <c r="S73" i="1"/>
  <c r="M132" i="1"/>
  <c r="N132" i="1"/>
  <c r="N137" i="1"/>
  <c r="M137" i="1"/>
  <c r="Q73" i="1"/>
  <c r="M128" i="1"/>
  <c r="P74" i="1"/>
  <c r="D73" i="1"/>
  <c r="C74" i="1"/>
  <c r="P97" i="1"/>
  <c r="C97" i="1"/>
  <c r="H74" i="1"/>
  <c r="O74" i="1"/>
  <c r="I73" i="1"/>
  <c r="N128" i="1"/>
  <c r="N98" i="1"/>
  <c r="M82" i="1"/>
  <c r="M75" i="1"/>
  <c r="N75" i="1"/>
  <c r="O97" i="1"/>
  <c r="H97" i="1"/>
  <c r="R73" i="1"/>
  <c r="M97" i="1"/>
  <c r="N74" i="1"/>
  <c r="M74" i="1"/>
  <c r="C73" i="1"/>
  <c r="P73" i="1"/>
  <c r="N97" i="1"/>
  <c r="O73" i="1"/>
  <c r="H73" i="1"/>
  <c r="M73" i="1"/>
  <c r="N73" i="1"/>
  <c r="D271" i="1"/>
  <c r="I272" i="1"/>
  <c r="D272" i="1"/>
  <c r="I271" i="1"/>
  <c r="C271" i="1"/>
  <c r="D264" i="1"/>
  <c r="I262" i="1"/>
  <c r="D262" i="1"/>
  <c r="D263" i="1"/>
  <c r="I259" i="1"/>
  <c r="E178" i="1"/>
  <c r="J260" i="1"/>
  <c r="E266" i="1"/>
  <c r="E260" i="1"/>
  <c r="I266" i="1"/>
  <c r="I260" i="1"/>
  <c r="D266" i="1"/>
  <c r="D260" i="1"/>
  <c r="D259" i="1"/>
  <c r="D258" i="1"/>
  <c r="I178" i="1"/>
  <c r="J178" i="1"/>
  <c r="L183" i="1"/>
  <c r="I183" i="1"/>
  <c r="D183" i="1"/>
  <c r="C185" i="1"/>
  <c r="I177" i="1"/>
  <c r="G176" i="5"/>
  <c r="I249" i="1"/>
  <c r="D249" i="1"/>
  <c r="J244" i="1"/>
  <c r="K244" i="1"/>
  <c r="L244" i="1"/>
  <c r="I244" i="1"/>
  <c r="E244" i="1"/>
  <c r="F244" i="1"/>
  <c r="G244" i="1"/>
  <c r="D244" i="1"/>
  <c r="D243" i="1"/>
  <c r="C244" i="1"/>
  <c r="T245" i="1"/>
  <c r="T246" i="1"/>
  <c r="T247" i="1"/>
  <c r="S245" i="1"/>
  <c r="S246" i="1"/>
  <c r="S247" i="1"/>
  <c r="R245" i="1"/>
  <c r="R246" i="1"/>
  <c r="R247" i="1"/>
  <c r="Q245" i="1"/>
  <c r="Q246" i="1"/>
  <c r="P245" i="1"/>
  <c r="P246" i="1"/>
  <c r="O245" i="1"/>
  <c r="O246" i="1"/>
  <c r="H245" i="1"/>
  <c r="H246" i="1"/>
  <c r="H247" i="1"/>
  <c r="C245" i="1"/>
  <c r="C246" i="1"/>
  <c r="N246" i="1"/>
  <c r="N245" i="1"/>
  <c r="M246" i="1"/>
  <c r="M245" i="1"/>
  <c r="T15" i="1"/>
  <c r="T16" i="1"/>
  <c r="T17" i="1"/>
  <c r="T18" i="1"/>
  <c r="S15" i="1"/>
  <c r="S16" i="1"/>
  <c r="S17" i="1"/>
  <c r="S18" i="1"/>
  <c r="R15" i="1"/>
  <c r="R16" i="1"/>
  <c r="R17" i="1"/>
  <c r="R18" i="1"/>
  <c r="Q15" i="1"/>
  <c r="Q16" i="1"/>
  <c r="Q17" i="1"/>
  <c r="Q18" i="1"/>
  <c r="P15" i="1"/>
  <c r="P16" i="1"/>
  <c r="P17" i="1"/>
  <c r="P18" i="1"/>
  <c r="O15" i="1"/>
  <c r="O16" i="1"/>
  <c r="O17" i="1"/>
  <c r="O18" i="1"/>
  <c r="H15" i="1"/>
  <c r="H16" i="1"/>
  <c r="H17" i="1"/>
  <c r="H18" i="1"/>
  <c r="C15" i="1"/>
  <c r="C16" i="1"/>
  <c r="C17" i="1"/>
  <c r="C18" i="1"/>
  <c r="H14" i="1"/>
  <c r="T11" i="1"/>
  <c r="T12" i="1"/>
  <c r="T13" i="1"/>
  <c r="T14" i="1"/>
  <c r="S11" i="1"/>
  <c r="S12" i="1"/>
  <c r="S13" i="1"/>
  <c r="S14" i="1"/>
  <c r="R11" i="1"/>
  <c r="R12" i="1"/>
  <c r="R13" i="1"/>
  <c r="R14" i="1"/>
  <c r="Q11" i="1"/>
  <c r="Q12" i="1"/>
  <c r="Q13" i="1"/>
  <c r="Q14" i="1"/>
  <c r="P11" i="1"/>
  <c r="P12" i="1"/>
  <c r="P13" i="1"/>
  <c r="P14" i="1"/>
  <c r="O11" i="1"/>
  <c r="O12" i="1"/>
  <c r="O13" i="1"/>
  <c r="O14" i="1"/>
  <c r="C11" i="1"/>
  <c r="C12" i="1"/>
  <c r="C13" i="1"/>
  <c r="C14" i="1"/>
  <c r="M14" i="1"/>
  <c r="J10" i="1"/>
  <c r="J9" i="1"/>
  <c r="K10" i="1"/>
  <c r="K9" i="1"/>
  <c r="L10" i="1"/>
  <c r="I10" i="1"/>
  <c r="I9" i="1"/>
  <c r="E10" i="1"/>
  <c r="E9" i="1"/>
  <c r="F10" i="1"/>
  <c r="F9" i="1"/>
  <c r="G10" i="1"/>
  <c r="D10" i="1"/>
  <c r="D9" i="1"/>
  <c r="N15" i="1"/>
  <c r="C9" i="1"/>
  <c r="N18" i="1"/>
  <c r="N17" i="1"/>
  <c r="M16" i="1"/>
  <c r="N16" i="1"/>
  <c r="M18" i="1"/>
  <c r="M17" i="1"/>
  <c r="M15" i="1"/>
  <c r="H10" i="1"/>
  <c r="N14" i="1"/>
  <c r="C10" i="1"/>
  <c r="G231" i="5"/>
  <c r="G227" i="5"/>
  <c r="G226" i="5"/>
  <c r="G225" i="5"/>
  <c r="G224" i="5"/>
  <c r="G221" i="5"/>
  <c r="G192" i="5"/>
  <c r="G191" i="5"/>
  <c r="G190" i="5"/>
  <c r="G189" i="5"/>
  <c r="G186" i="5"/>
  <c r="G185" i="5"/>
  <c r="G184" i="5"/>
  <c r="G182" i="5"/>
  <c r="G181" i="5"/>
  <c r="G179" i="5"/>
  <c r="G175" i="5"/>
  <c r="G174" i="5"/>
  <c r="G173" i="5"/>
  <c r="G172" i="5"/>
  <c r="G171" i="5"/>
  <c r="G169" i="5"/>
  <c r="G162" i="5"/>
  <c r="G161" i="5"/>
  <c r="G160" i="5"/>
  <c r="G159" i="5"/>
  <c r="G158" i="5"/>
  <c r="G157" i="5"/>
  <c r="G156" i="5"/>
  <c r="G154" i="5"/>
  <c r="G152" i="5"/>
  <c r="G151" i="5"/>
  <c r="G150" i="5"/>
  <c r="G149" i="5"/>
  <c r="G148" i="5"/>
  <c r="G147" i="5"/>
  <c r="G146" i="5"/>
  <c r="G143" i="5"/>
  <c r="G142" i="5"/>
  <c r="G141" i="5"/>
  <c r="G140" i="5"/>
  <c r="G139" i="5"/>
  <c r="G135" i="5"/>
  <c r="G133" i="5"/>
  <c r="G130" i="5"/>
  <c r="G129" i="5"/>
  <c r="G128" i="5"/>
  <c r="G127" i="5"/>
  <c r="G124" i="5"/>
  <c r="G123" i="5"/>
  <c r="G122" i="5"/>
  <c r="G120" i="5"/>
  <c r="G119" i="5"/>
  <c r="G118" i="5"/>
  <c r="G117" i="5"/>
  <c r="G116" i="5"/>
  <c r="G115" i="5"/>
  <c r="G113" i="5"/>
  <c r="G112" i="5"/>
  <c r="G110" i="5"/>
  <c r="G109" i="5"/>
  <c r="G108" i="5"/>
  <c r="G96" i="5"/>
  <c r="G93" i="5"/>
  <c r="G91" i="5"/>
  <c r="G90" i="5"/>
  <c r="G89" i="5"/>
  <c r="G88" i="5"/>
  <c r="G87" i="5"/>
  <c r="G86" i="5"/>
  <c r="G85" i="5"/>
  <c r="G84" i="5"/>
  <c r="G83" i="5"/>
  <c r="G82" i="5"/>
  <c r="G79" i="5"/>
  <c r="G75" i="5"/>
  <c r="G74" i="5"/>
  <c r="G72" i="5"/>
  <c r="G71" i="5"/>
  <c r="G70" i="5"/>
  <c r="G68" i="5"/>
  <c r="G67" i="5"/>
  <c r="G66" i="5"/>
  <c r="G65" i="5"/>
  <c r="G64" i="5"/>
  <c r="G62" i="5"/>
  <c r="G61" i="5"/>
  <c r="G60" i="5"/>
  <c r="G59" i="5"/>
  <c r="G58" i="5"/>
  <c r="G57" i="5"/>
  <c r="G54" i="5"/>
  <c r="G53" i="5"/>
  <c r="G52" i="5"/>
  <c r="G43" i="5"/>
  <c r="G42" i="5"/>
  <c r="G41" i="5"/>
  <c r="G38" i="5"/>
  <c r="G37" i="5"/>
  <c r="G34" i="5"/>
  <c r="G31" i="5"/>
  <c r="G30" i="5"/>
  <c r="G29" i="5"/>
  <c r="G27" i="5"/>
  <c r="G25" i="5"/>
  <c r="G23" i="5"/>
  <c r="G22" i="5"/>
  <c r="G21" i="5"/>
  <c r="G20" i="5"/>
  <c r="G19" i="5"/>
  <c r="G18" i="5"/>
  <c r="G17" i="5"/>
  <c r="G16" i="5"/>
  <c r="G15" i="5"/>
  <c r="G14" i="5"/>
  <c r="G13" i="5"/>
  <c r="G10" i="5"/>
  <c r="G9" i="5"/>
  <c r="G8" i="5"/>
  <c r="T307" i="1"/>
  <c r="S307" i="1"/>
  <c r="R307" i="1"/>
  <c r="Q307" i="1"/>
  <c r="P307" i="1"/>
  <c r="O307" i="1"/>
  <c r="H307" i="1"/>
  <c r="C307" i="1"/>
  <c r="T306" i="1"/>
  <c r="S306" i="1"/>
  <c r="R306" i="1"/>
  <c r="Q306" i="1"/>
  <c r="P306" i="1"/>
  <c r="O306" i="1"/>
  <c r="H306" i="1"/>
  <c r="C306" i="1"/>
  <c r="T305" i="1"/>
  <c r="S305" i="1"/>
  <c r="R305" i="1"/>
  <c r="Q305" i="1"/>
  <c r="P305" i="1"/>
  <c r="O305" i="1"/>
  <c r="H305" i="1"/>
  <c r="C305" i="1"/>
  <c r="T304" i="1"/>
  <c r="S304" i="1"/>
  <c r="R304" i="1"/>
  <c r="Q304" i="1"/>
  <c r="P304" i="1"/>
  <c r="O304" i="1"/>
  <c r="H304" i="1"/>
  <c r="C304" i="1"/>
  <c r="G303" i="1"/>
  <c r="T303" i="1"/>
  <c r="R303" i="1"/>
  <c r="T302" i="1"/>
  <c r="R302" i="1"/>
  <c r="P302" i="1"/>
  <c r="H302" i="1"/>
  <c r="C302" i="1"/>
  <c r="T301" i="1"/>
  <c r="S301" i="1"/>
  <c r="R301" i="1"/>
  <c r="Q301" i="1"/>
  <c r="O301" i="1"/>
  <c r="H301" i="1"/>
  <c r="C301" i="1"/>
  <c r="T300" i="1"/>
  <c r="S300" i="1"/>
  <c r="R300" i="1"/>
  <c r="Q300" i="1"/>
  <c r="P300" i="1"/>
  <c r="O300" i="1"/>
  <c r="H300" i="1"/>
  <c r="C300" i="1"/>
  <c r="L299" i="1"/>
  <c r="K299" i="1"/>
  <c r="J299" i="1"/>
  <c r="G299" i="1"/>
  <c r="F299" i="1"/>
  <c r="E299" i="1"/>
  <c r="D299" i="1"/>
  <c r="T297" i="1"/>
  <c r="S297" i="1"/>
  <c r="R297" i="1"/>
  <c r="Q297" i="1"/>
  <c r="P297" i="1"/>
  <c r="O297" i="1"/>
  <c r="C297" i="1"/>
  <c r="T296" i="1"/>
  <c r="S296" i="1"/>
  <c r="R296" i="1"/>
  <c r="Q296" i="1"/>
  <c r="P296" i="1"/>
  <c r="O296" i="1"/>
  <c r="H296" i="1"/>
  <c r="C296" i="1"/>
  <c r="L295" i="1"/>
  <c r="L294" i="1"/>
  <c r="K295" i="1"/>
  <c r="K294" i="1"/>
  <c r="J295" i="1"/>
  <c r="G295" i="1"/>
  <c r="F295" i="1"/>
  <c r="E295" i="1"/>
  <c r="T275" i="1"/>
  <c r="P275" i="1"/>
  <c r="T274" i="1"/>
  <c r="S274" i="1"/>
  <c r="R274" i="1"/>
  <c r="Q274" i="1"/>
  <c r="P274" i="1"/>
  <c r="O274" i="1"/>
  <c r="H274" i="1"/>
  <c r="C274" i="1"/>
  <c r="T273" i="1"/>
  <c r="S273" i="1"/>
  <c r="R273" i="1"/>
  <c r="Q273" i="1"/>
  <c r="P273" i="1"/>
  <c r="O273" i="1"/>
  <c r="H273" i="1"/>
  <c r="C273" i="1"/>
  <c r="T272" i="1"/>
  <c r="S272" i="1"/>
  <c r="R272" i="1"/>
  <c r="Q272" i="1"/>
  <c r="H272" i="1"/>
  <c r="T271" i="1"/>
  <c r="S271" i="1"/>
  <c r="R271" i="1"/>
  <c r="Q271" i="1"/>
  <c r="P271" i="1"/>
  <c r="O271" i="1"/>
  <c r="H271" i="1"/>
  <c r="K270" i="1"/>
  <c r="K269" i="1"/>
  <c r="J270" i="1"/>
  <c r="F270" i="1"/>
  <c r="E270" i="1"/>
  <c r="L269" i="1"/>
  <c r="G269" i="1"/>
  <c r="T268" i="1"/>
  <c r="S268" i="1"/>
  <c r="R268" i="1"/>
  <c r="Q268" i="1"/>
  <c r="P268" i="1"/>
  <c r="O268" i="1"/>
  <c r="H268" i="1"/>
  <c r="C268" i="1"/>
  <c r="T267" i="1"/>
  <c r="S267" i="1"/>
  <c r="R267" i="1"/>
  <c r="Q267" i="1"/>
  <c r="P267" i="1"/>
  <c r="O267" i="1"/>
  <c r="H267" i="1"/>
  <c r="C267" i="1"/>
  <c r="T266" i="1"/>
  <c r="S266" i="1"/>
  <c r="R266" i="1"/>
  <c r="Q266" i="1"/>
  <c r="P266" i="1"/>
  <c r="O266" i="1"/>
  <c r="H266" i="1"/>
  <c r="C266" i="1"/>
  <c r="T265" i="1"/>
  <c r="S265" i="1"/>
  <c r="R265" i="1"/>
  <c r="Q265" i="1"/>
  <c r="P265" i="1"/>
  <c r="O265" i="1"/>
  <c r="H265" i="1"/>
  <c r="C265" i="1"/>
  <c r="T264" i="1"/>
  <c r="S264" i="1"/>
  <c r="R264" i="1"/>
  <c r="Q264" i="1"/>
  <c r="P264" i="1"/>
  <c r="O264" i="1"/>
  <c r="H264" i="1"/>
  <c r="C264" i="1"/>
  <c r="T263" i="1"/>
  <c r="S263" i="1"/>
  <c r="R263" i="1"/>
  <c r="Q263" i="1"/>
  <c r="P263" i="1"/>
  <c r="O263" i="1"/>
  <c r="H263" i="1"/>
  <c r="C263" i="1"/>
  <c r="T262" i="1"/>
  <c r="S262" i="1"/>
  <c r="R262" i="1"/>
  <c r="Q262" i="1"/>
  <c r="P262" i="1"/>
  <c r="O262" i="1"/>
  <c r="H262" i="1"/>
  <c r="C262" i="1"/>
  <c r="T261" i="1"/>
  <c r="S261" i="1"/>
  <c r="R261" i="1"/>
  <c r="Q261" i="1"/>
  <c r="P261" i="1"/>
  <c r="O261" i="1"/>
  <c r="H261" i="1"/>
  <c r="C261" i="1"/>
  <c r="K260" i="1"/>
  <c r="H260" i="1"/>
  <c r="F260" i="1"/>
  <c r="T259" i="1"/>
  <c r="S259" i="1"/>
  <c r="R259" i="1"/>
  <c r="Q259" i="1"/>
  <c r="P259" i="1"/>
  <c r="O259" i="1"/>
  <c r="H259" i="1"/>
  <c r="C259" i="1"/>
  <c r="L258" i="1"/>
  <c r="L257" i="1"/>
  <c r="K258" i="1"/>
  <c r="J258" i="1"/>
  <c r="J257" i="1"/>
  <c r="I258" i="1"/>
  <c r="I257" i="1"/>
  <c r="G258" i="1"/>
  <c r="G257" i="1"/>
  <c r="F258" i="1"/>
  <c r="E258" i="1"/>
  <c r="E257" i="1"/>
  <c r="T256" i="1"/>
  <c r="S256" i="1"/>
  <c r="R256" i="1"/>
  <c r="Q256" i="1"/>
  <c r="P256" i="1"/>
  <c r="O256" i="1"/>
  <c r="H256" i="1"/>
  <c r="C256" i="1"/>
  <c r="T255" i="1"/>
  <c r="S255" i="1"/>
  <c r="R255" i="1"/>
  <c r="Q255" i="1"/>
  <c r="P255" i="1"/>
  <c r="O255" i="1"/>
  <c r="H255" i="1"/>
  <c r="C255" i="1"/>
  <c r="T254" i="1"/>
  <c r="S254" i="1"/>
  <c r="R254" i="1"/>
  <c r="Q254" i="1"/>
  <c r="P254" i="1"/>
  <c r="O254" i="1"/>
  <c r="H254" i="1"/>
  <c r="C254" i="1"/>
  <c r="T252" i="1"/>
  <c r="S252" i="1"/>
  <c r="R252" i="1"/>
  <c r="Q252" i="1"/>
  <c r="P252" i="1"/>
  <c r="O252" i="1"/>
  <c r="H252" i="1"/>
  <c r="C252" i="1"/>
  <c r="T251" i="1"/>
  <c r="S251" i="1"/>
  <c r="R251" i="1"/>
  <c r="Q251" i="1"/>
  <c r="P251" i="1"/>
  <c r="O251" i="1"/>
  <c r="H251" i="1"/>
  <c r="C251" i="1"/>
  <c r="T250" i="1"/>
  <c r="S250" i="1"/>
  <c r="R250" i="1"/>
  <c r="Q250" i="1"/>
  <c r="P250" i="1"/>
  <c r="O250" i="1"/>
  <c r="H250" i="1"/>
  <c r="C250" i="1"/>
  <c r="L249" i="1"/>
  <c r="L242" i="1"/>
  <c r="K249" i="1"/>
  <c r="J249" i="1"/>
  <c r="G249" i="1"/>
  <c r="F249" i="1"/>
  <c r="E249" i="1"/>
  <c r="T248" i="1"/>
  <c r="S248" i="1"/>
  <c r="R248" i="1"/>
  <c r="Q248" i="1"/>
  <c r="P248" i="1"/>
  <c r="O248" i="1"/>
  <c r="H248" i="1"/>
  <c r="C248" i="1"/>
  <c r="G243" i="1"/>
  <c r="P247" i="1"/>
  <c r="T244" i="1"/>
  <c r="S244" i="1"/>
  <c r="R244" i="1"/>
  <c r="Q244" i="1"/>
  <c r="P244" i="1"/>
  <c r="O244" i="1"/>
  <c r="H244" i="1"/>
  <c r="K243" i="1"/>
  <c r="I243" i="1"/>
  <c r="E243" i="1"/>
  <c r="T241" i="1"/>
  <c r="S241" i="1"/>
  <c r="R241" i="1"/>
  <c r="Q241" i="1"/>
  <c r="P241" i="1"/>
  <c r="O241" i="1"/>
  <c r="H241" i="1"/>
  <c r="T240" i="1"/>
  <c r="S240" i="1"/>
  <c r="R240" i="1"/>
  <c r="Q240" i="1"/>
  <c r="P240" i="1"/>
  <c r="O240" i="1"/>
  <c r="H240" i="1"/>
  <c r="T239" i="1"/>
  <c r="S239" i="1"/>
  <c r="R239" i="1"/>
  <c r="Q239" i="1"/>
  <c r="P239" i="1"/>
  <c r="O239" i="1"/>
  <c r="H239" i="1"/>
  <c r="T238" i="1"/>
  <c r="S238" i="1"/>
  <c r="R238" i="1"/>
  <c r="Q238" i="1"/>
  <c r="P238" i="1"/>
  <c r="O238" i="1"/>
  <c r="H238" i="1"/>
  <c r="T237" i="1"/>
  <c r="S237" i="1"/>
  <c r="R237" i="1"/>
  <c r="Q237" i="1"/>
  <c r="P237" i="1"/>
  <c r="O237" i="1"/>
  <c r="H237" i="1"/>
  <c r="P236" i="1"/>
  <c r="O236" i="1"/>
  <c r="H236" i="1"/>
  <c r="T235" i="1"/>
  <c r="S235" i="1"/>
  <c r="R235" i="1"/>
  <c r="Q235" i="1"/>
  <c r="P235" i="1"/>
  <c r="O235" i="1"/>
  <c r="H235" i="1"/>
  <c r="T234" i="1"/>
  <c r="S234" i="1"/>
  <c r="R234" i="1"/>
  <c r="Q234" i="1"/>
  <c r="P234" i="1"/>
  <c r="O234" i="1"/>
  <c r="H234" i="1"/>
  <c r="T233" i="1"/>
  <c r="S233" i="1"/>
  <c r="R233" i="1"/>
  <c r="Q233" i="1"/>
  <c r="P233" i="1"/>
  <c r="O233" i="1"/>
  <c r="H233" i="1"/>
  <c r="Q232" i="1"/>
  <c r="T230" i="1"/>
  <c r="S230" i="1"/>
  <c r="R230" i="1"/>
  <c r="Q230" i="1"/>
  <c r="P230" i="1"/>
  <c r="O230" i="1"/>
  <c r="H230" i="1"/>
  <c r="T229" i="1"/>
  <c r="S229" i="1"/>
  <c r="R229" i="1"/>
  <c r="Q229" i="1"/>
  <c r="P229" i="1"/>
  <c r="O229" i="1"/>
  <c r="H229" i="1"/>
  <c r="T224" i="1"/>
  <c r="S224" i="1"/>
  <c r="R224" i="1"/>
  <c r="Q224" i="1"/>
  <c r="T222" i="1"/>
  <c r="S222" i="1"/>
  <c r="R222" i="1"/>
  <c r="Q222" i="1"/>
  <c r="P222" i="1"/>
  <c r="O222" i="1"/>
  <c r="H222" i="1"/>
  <c r="C222" i="1"/>
  <c r="T221" i="1"/>
  <c r="S221" i="1"/>
  <c r="R221" i="1"/>
  <c r="Q221" i="1"/>
  <c r="P221" i="1"/>
  <c r="O221" i="1"/>
  <c r="H221" i="1"/>
  <c r="C221" i="1"/>
  <c r="K220" i="1"/>
  <c r="J220" i="1"/>
  <c r="I220" i="1"/>
  <c r="F220" i="1"/>
  <c r="E220" i="1"/>
  <c r="D220" i="1"/>
  <c r="T219" i="1"/>
  <c r="S219" i="1"/>
  <c r="R219" i="1"/>
  <c r="Q219" i="1"/>
  <c r="P219" i="1"/>
  <c r="O219" i="1"/>
  <c r="H219" i="1"/>
  <c r="C219" i="1"/>
  <c r="L218" i="1"/>
  <c r="K218" i="1"/>
  <c r="J218" i="1"/>
  <c r="I218" i="1"/>
  <c r="G218" i="1"/>
  <c r="F218" i="1"/>
  <c r="E218" i="1"/>
  <c r="E208" i="1"/>
  <c r="D218" i="1"/>
  <c r="D208" i="1"/>
  <c r="T217" i="1"/>
  <c r="S217" i="1"/>
  <c r="R217" i="1"/>
  <c r="Q217" i="1"/>
  <c r="P217" i="1"/>
  <c r="O217" i="1"/>
  <c r="H217" i="1"/>
  <c r="C217" i="1"/>
  <c r="T216" i="1"/>
  <c r="S216" i="1"/>
  <c r="R216" i="1"/>
  <c r="Q216" i="1"/>
  <c r="P216" i="1"/>
  <c r="O216" i="1"/>
  <c r="H216" i="1"/>
  <c r="C216" i="1"/>
  <c r="T215" i="1"/>
  <c r="S215" i="1"/>
  <c r="R215" i="1"/>
  <c r="Q215" i="1"/>
  <c r="P215" i="1"/>
  <c r="O215" i="1"/>
  <c r="H215" i="1"/>
  <c r="C215" i="1"/>
  <c r="T212" i="1"/>
  <c r="S212" i="1"/>
  <c r="R212" i="1"/>
  <c r="Q212" i="1"/>
  <c r="P212" i="1"/>
  <c r="O212" i="1"/>
  <c r="C212" i="1"/>
  <c r="T211" i="1"/>
  <c r="S211" i="1"/>
  <c r="R211" i="1"/>
  <c r="Q211" i="1"/>
  <c r="P211" i="1"/>
  <c r="O211" i="1"/>
  <c r="C211" i="1"/>
  <c r="L209" i="1"/>
  <c r="G209" i="1"/>
  <c r="P210" i="1"/>
  <c r="T207" i="1"/>
  <c r="S207" i="1"/>
  <c r="R207" i="1"/>
  <c r="Q207" i="1"/>
  <c r="P207" i="1"/>
  <c r="O207" i="1"/>
  <c r="H207" i="1"/>
  <c r="C207" i="1"/>
  <c r="K205" i="1"/>
  <c r="P206" i="1"/>
  <c r="L205" i="1"/>
  <c r="G205" i="1"/>
  <c r="T203" i="1"/>
  <c r="S203" i="1"/>
  <c r="E201" i="1"/>
  <c r="K201" i="1"/>
  <c r="F201" i="1"/>
  <c r="L201" i="1"/>
  <c r="G201" i="1"/>
  <c r="T200" i="1"/>
  <c r="S200" i="1"/>
  <c r="Q200" i="1"/>
  <c r="H200" i="1"/>
  <c r="T199" i="1"/>
  <c r="S199" i="1"/>
  <c r="R199" i="1"/>
  <c r="Q199" i="1"/>
  <c r="H199" i="1"/>
  <c r="K198" i="1"/>
  <c r="F198" i="1"/>
  <c r="T197" i="1"/>
  <c r="S197" i="1"/>
  <c r="R197" i="1"/>
  <c r="Q197" i="1"/>
  <c r="P197" i="1"/>
  <c r="O197" i="1"/>
  <c r="H197" i="1"/>
  <c r="C197" i="1"/>
  <c r="T196" i="1"/>
  <c r="S196" i="1"/>
  <c r="T195" i="1"/>
  <c r="S195" i="1"/>
  <c r="R195" i="1"/>
  <c r="Q195" i="1"/>
  <c r="L193" i="1"/>
  <c r="G193" i="1"/>
  <c r="T191" i="1"/>
  <c r="S191" i="1"/>
  <c r="R191" i="1"/>
  <c r="Q191" i="1"/>
  <c r="P191" i="1"/>
  <c r="O191" i="1"/>
  <c r="H191" i="1"/>
  <c r="C191" i="1"/>
  <c r="T190" i="1"/>
  <c r="S190" i="1"/>
  <c r="R190" i="1"/>
  <c r="Q190" i="1"/>
  <c r="P190" i="1"/>
  <c r="O190" i="1"/>
  <c r="H190" i="1"/>
  <c r="C190" i="1"/>
  <c r="T189" i="1"/>
  <c r="S189" i="1"/>
  <c r="R189" i="1"/>
  <c r="Q189" i="1"/>
  <c r="P189" i="1"/>
  <c r="O189" i="1"/>
  <c r="H189" i="1"/>
  <c r="C189" i="1"/>
  <c r="L188" i="1"/>
  <c r="K188" i="1"/>
  <c r="J188" i="1"/>
  <c r="I188" i="1"/>
  <c r="G188" i="1"/>
  <c r="F188" i="1"/>
  <c r="E188" i="1"/>
  <c r="R188" i="1"/>
  <c r="D188" i="1"/>
  <c r="T187" i="1"/>
  <c r="S187" i="1"/>
  <c r="R187" i="1"/>
  <c r="Q187" i="1"/>
  <c r="P187" i="1"/>
  <c r="O187" i="1"/>
  <c r="H187" i="1"/>
  <c r="C187" i="1"/>
  <c r="T186" i="1"/>
  <c r="S186" i="1"/>
  <c r="R186" i="1"/>
  <c r="Q186" i="1"/>
  <c r="P186" i="1"/>
  <c r="O186" i="1"/>
  <c r="H186" i="1"/>
  <c r="C186" i="1"/>
  <c r="T185" i="1"/>
  <c r="S185" i="1"/>
  <c r="R185" i="1"/>
  <c r="Q185" i="1"/>
  <c r="P185" i="1"/>
  <c r="O185" i="1"/>
  <c r="H185" i="1"/>
  <c r="P184" i="1"/>
  <c r="O184" i="1"/>
  <c r="K184" i="1"/>
  <c r="K183" i="1"/>
  <c r="J184" i="1"/>
  <c r="J183" i="1"/>
  <c r="G184" i="1"/>
  <c r="G183" i="1"/>
  <c r="G182" i="1"/>
  <c r="G177" i="1"/>
  <c r="F184" i="1"/>
  <c r="F183" i="1"/>
  <c r="E184" i="1"/>
  <c r="E183" i="1"/>
  <c r="R182" i="1"/>
  <c r="Q182" i="1"/>
  <c r="P182" i="1"/>
  <c r="O182" i="1"/>
  <c r="H182" i="1"/>
  <c r="T181" i="1"/>
  <c r="S181" i="1"/>
  <c r="R181" i="1"/>
  <c r="Q181" i="1"/>
  <c r="P181" i="1"/>
  <c r="O181" i="1"/>
  <c r="H181" i="1"/>
  <c r="C181" i="1"/>
  <c r="T180" i="1"/>
  <c r="S180" i="1"/>
  <c r="R180" i="1"/>
  <c r="Q180" i="1"/>
  <c r="P180" i="1"/>
  <c r="O180" i="1"/>
  <c r="H180" i="1"/>
  <c r="C180" i="1"/>
  <c r="T179" i="1"/>
  <c r="S179" i="1"/>
  <c r="R179" i="1"/>
  <c r="Q179" i="1"/>
  <c r="P179" i="1"/>
  <c r="O179" i="1"/>
  <c r="H179" i="1"/>
  <c r="C179" i="1"/>
  <c r="T178" i="1"/>
  <c r="S178" i="1"/>
  <c r="R178" i="1"/>
  <c r="Q178" i="1"/>
  <c r="P178" i="1"/>
  <c r="O178" i="1"/>
  <c r="H178" i="1"/>
  <c r="C178" i="1"/>
  <c r="L177" i="1"/>
  <c r="T176" i="1"/>
  <c r="S176" i="1"/>
  <c r="R176" i="1"/>
  <c r="Q176" i="1"/>
  <c r="P176" i="1"/>
  <c r="O176" i="1"/>
  <c r="H176" i="1"/>
  <c r="C176" i="1"/>
  <c r="T175" i="1"/>
  <c r="S175" i="1"/>
  <c r="R175" i="1"/>
  <c r="Q175" i="1"/>
  <c r="P175" i="1"/>
  <c r="O175" i="1"/>
  <c r="H175" i="1"/>
  <c r="T174" i="1"/>
  <c r="S174" i="1"/>
  <c r="R174" i="1"/>
  <c r="Q174" i="1"/>
  <c r="P174" i="1"/>
  <c r="O174" i="1"/>
  <c r="K173" i="1"/>
  <c r="K172" i="1"/>
  <c r="K165" i="1"/>
  <c r="J173" i="1"/>
  <c r="F173" i="1"/>
  <c r="F172" i="1"/>
  <c r="F165" i="1"/>
  <c r="E173" i="1"/>
  <c r="E172" i="1"/>
  <c r="E165" i="1"/>
  <c r="T167" i="1"/>
  <c r="S167" i="1"/>
  <c r="R167" i="1"/>
  <c r="Q167" i="1"/>
  <c r="P167" i="1"/>
  <c r="O167" i="1"/>
  <c r="H167" i="1"/>
  <c r="C167" i="1"/>
  <c r="G165" i="1"/>
  <c r="T166" i="1"/>
  <c r="Q166" i="1"/>
  <c r="Q72" i="1"/>
  <c r="P72" i="1"/>
  <c r="O72" i="1"/>
  <c r="H72" i="1"/>
  <c r="C72" i="1"/>
  <c r="T71" i="1"/>
  <c r="S71" i="1"/>
  <c r="R71" i="1"/>
  <c r="Q71" i="1"/>
  <c r="P71" i="1"/>
  <c r="O71" i="1"/>
  <c r="H71" i="1"/>
  <c r="C71" i="1"/>
  <c r="T70" i="1"/>
  <c r="S70" i="1"/>
  <c r="R70" i="1"/>
  <c r="Q70" i="1"/>
  <c r="P70" i="1"/>
  <c r="O70" i="1"/>
  <c r="H70" i="1"/>
  <c r="C70" i="1"/>
  <c r="T69" i="1"/>
  <c r="S69" i="1"/>
  <c r="R69" i="1"/>
  <c r="Q69" i="1"/>
  <c r="P69" i="1"/>
  <c r="O69" i="1"/>
  <c r="H69" i="1"/>
  <c r="C69" i="1"/>
  <c r="T68" i="1"/>
  <c r="S68" i="1"/>
  <c r="R68" i="1"/>
  <c r="Q68" i="1"/>
  <c r="P68" i="1"/>
  <c r="O68" i="1"/>
  <c r="H68" i="1"/>
  <c r="C68" i="1"/>
  <c r="K67" i="1"/>
  <c r="J67" i="1"/>
  <c r="F67" i="1"/>
  <c r="E67" i="1"/>
  <c r="L66" i="1"/>
  <c r="K66" i="1"/>
  <c r="J66" i="1"/>
  <c r="I66" i="1"/>
  <c r="G66" i="1"/>
  <c r="F66" i="1"/>
  <c r="E66" i="1"/>
  <c r="R66" i="1"/>
  <c r="D66" i="1"/>
  <c r="T59" i="1"/>
  <c r="S59" i="1"/>
  <c r="R59" i="1"/>
  <c r="Q59" i="1"/>
  <c r="P59" i="1"/>
  <c r="O59" i="1"/>
  <c r="H59" i="1"/>
  <c r="C59" i="1"/>
  <c r="L58" i="1"/>
  <c r="T58" i="1"/>
  <c r="R58" i="1"/>
  <c r="T57" i="1"/>
  <c r="S57" i="1"/>
  <c r="R57" i="1"/>
  <c r="Q57" i="1"/>
  <c r="P57" i="1"/>
  <c r="O57" i="1"/>
  <c r="H57" i="1"/>
  <c r="C57" i="1"/>
  <c r="L56" i="1"/>
  <c r="K56" i="1"/>
  <c r="J56" i="1"/>
  <c r="I56" i="1"/>
  <c r="G56" i="1"/>
  <c r="F56" i="1"/>
  <c r="E56" i="1"/>
  <c r="R56" i="1"/>
  <c r="D56" i="1"/>
  <c r="T55" i="1"/>
  <c r="S55" i="1"/>
  <c r="R55" i="1"/>
  <c r="Q55" i="1"/>
  <c r="P55" i="1"/>
  <c r="O55" i="1"/>
  <c r="H55" i="1"/>
  <c r="C55" i="1"/>
  <c r="T54" i="1"/>
  <c r="S54" i="1"/>
  <c r="R54" i="1"/>
  <c r="Q54" i="1"/>
  <c r="P54" i="1"/>
  <c r="O54" i="1"/>
  <c r="H54" i="1"/>
  <c r="C54" i="1"/>
  <c r="T51" i="1"/>
  <c r="S51" i="1"/>
  <c r="R51" i="1"/>
  <c r="Q51" i="1"/>
  <c r="P51" i="1"/>
  <c r="O51" i="1"/>
  <c r="H51" i="1"/>
  <c r="C51" i="1"/>
  <c r="T50" i="1"/>
  <c r="S50" i="1"/>
  <c r="R50" i="1"/>
  <c r="Q50" i="1"/>
  <c r="P50" i="1"/>
  <c r="O50" i="1"/>
  <c r="H50" i="1"/>
  <c r="C50" i="1"/>
  <c r="T49" i="1"/>
  <c r="S49" i="1"/>
  <c r="R49" i="1"/>
  <c r="Q49" i="1"/>
  <c r="P49" i="1"/>
  <c r="O49" i="1"/>
  <c r="H49" i="1"/>
  <c r="C49" i="1"/>
  <c r="K48" i="1"/>
  <c r="K47" i="1"/>
  <c r="J48" i="1"/>
  <c r="J47" i="1"/>
  <c r="I48" i="1"/>
  <c r="I47" i="1"/>
  <c r="G48" i="1"/>
  <c r="G47" i="1"/>
  <c r="F48" i="1"/>
  <c r="E48" i="1"/>
  <c r="E47" i="1"/>
  <c r="L47" i="1"/>
  <c r="T45" i="1"/>
  <c r="S45" i="1"/>
  <c r="R45" i="1"/>
  <c r="Q45" i="1"/>
  <c r="P45" i="1"/>
  <c r="O45" i="1"/>
  <c r="H45" i="1"/>
  <c r="C45" i="1"/>
  <c r="L44" i="1"/>
  <c r="K44" i="1"/>
  <c r="J44" i="1"/>
  <c r="I44" i="1"/>
  <c r="G44" i="1"/>
  <c r="F44" i="1"/>
  <c r="T44" i="1"/>
  <c r="E44" i="1"/>
  <c r="R44" i="1"/>
  <c r="D44" i="1"/>
  <c r="T43" i="1"/>
  <c r="S43" i="1"/>
  <c r="R43" i="1"/>
  <c r="Q43" i="1"/>
  <c r="P43" i="1"/>
  <c r="O43" i="1"/>
  <c r="L36" i="1"/>
  <c r="S42" i="1"/>
  <c r="J36" i="1"/>
  <c r="T38" i="1"/>
  <c r="S38" i="1"/>
  <c r="R38" i="1"/>
  <c r="Q38" i="1"/>
  <c r="P38" i="1"/>
  <c r="O38" i="1"/>
  <c r="H38" i="1"/>
  <c r="C38" i="1"/>
  <c r="T37" i="1"/>
  <c r="S37" i="1"/>
  <c r="R37" i="1"/>
  <c r="Q37" i="1"/>
  <c r="P37" i="1"/>
  <c r="O37" i="1"/>
  <c r="H37" i="1"/>
  <c r="C37" i="1"/>
  <c r="K36" i="1"/>
  <c r="G36" i="1"/>
  <c r="F36" i="1"/>
  <c r="E36" i="1"/>
  <c r="T35" i="1"/>
  <c r="S35" i="1"/>
  <c r="R35" i="1"/>
  <c r="Q35" i="1"/>
  <c r="P35" i="1"/>
  <c r="O35" i="1"/>
  <c r="H35" i="1"/>
  <c r="C35" i="1"/>
  <c r="T34" i="1"/>
  <c r="S34" i="1"/>
  <c r="R34" i="1"/>
  <c r="Q34" i="1"/>
  <c r="P34" i="1"/>
  <c r="O34" i="1"/>
  <c r="H34" i="1"/>
  <c r="C34" i="1"/>
  <c r="T33" i="1"/>
  <c r="S33" i="1"/>
  <c r="R33" i="1"/>
  <c r="Q33" i="1"/>
  <c r="P33" i="1"/>
  <c r="O33" i="1"/>
  <c r="H33" i="1"/>
  <c r="C33" i="1"/>
  <c r="L32" i="1"/>
  <c r="L31" i="1"/>
  <c r="K32" i="1"/>
  <c r="K31" i="1"/>
  <c r="J32" i="1"/>
  <c r="I32" i="1"/>
  <c r="G32" i="1"/>
  <c r="G31" i="1"/>
  <c r="F32" i="1"/>
  <c r="E32" i="1"/>
  <c r="R32" i="1"/>
  <c r="D32" i="1"/>
  <c r="D31" i="1"/>
  <c r="T30" i="1"/>
  <c r="S30" i="1"/>
  <c r="R30" i="1"/>
  <c r="Q30" i="1"/>
  <c r="P30" i="1"/>
  <c r="O30" i="1"/>
  <c r="H30" i="1"/>
  <c r="C30" i="1"/>
  <c r="T29" i="1"/>
  <c r="S29" i="1"/>
  <c r="R29" i="1"/>
  <c r="Q29" i="1"/>
  <c r="P29" i="1"/>
  <c r="O29" i="1"/>
  <c r="H29" i="1"/>
  <c r="C29" i="1"/>
  <c r="K28" i="1"/>
  <c r="J28" i="1"/>
  <c r="I28" i="1"/>
  <c r="G28" i="1"/>
  <c r="F28" i="1"/>
  <c r="E28" i="1"/>
  <c r="D28" i="1"/>
  <c r="T27" i="1"/>
  <c r="S27" i="1"/>
  <c r="R27" i="1"/>
  <c r="Q27" i="1"/>
  <c r="O27" i="1"/>
  <c r="H27" i="1"/>
  <c r="C27" i="1"/>
  <c r="T26" i="1"/>
  <c r="S26" i="1"/>
  <c r="R26" i="1"/>
  <c r="Q26" i="1"/>
  <c r="P26" i="1"/>
  <c r="O26" i="1"/>
  <c r="H26" i="1"/>
  <c r="C26" i="1"/>
  <c r="T25" i="1"/>
  <c r="S25" i="1"/>
  <c r="R25" i="1"/>
  <c r="Q25" i="1"/>
  <c r="P25" i="1"/>
  <c r="O25" i="1"/>
  <c r="H25" i="1"/>
  <c r="C25" i="1"/>
  <c r="L24" i="1"/>
  <c r="K24" i="1"/>
  <c r="J24" i="1"/>
  <c r="I24" i="1"/>
  <c r="F24" i="1"/>
  <c r="T23" i="1"/>
  <c r="S23" i="1"/>
  <c r="R23" i="1"/>
  <c r="Q23" i="1"/>
  <c r="P23" i="1"/>
  <c r="O23" i="1"/>
  <c r="H23" i="1"/>
  <c r="C23" i="1"/>
  <c r="T22" i="1"/>
  <c r="S22" i="1"/>
  <c r="R22" i="1"/>
  <c r="Q22" i="1"/>
  <c r="P22" i="1"/>
  <c r="C22" i="1"/>
  <c r="H13" i="1"/>
  <c r="H12" i="1"/>
  <c r="H11" i="1"/>
  <c r="T10" i="1"/>
  <c r="S10" i="1"/>
  <c r="L9" i="1"/>
  <c r="G9" i="1"/>
  <c r="S9" i="1"/>
  <c r="P188" i="1"/>
  <c r="T66" i="1"/>
  <c r="E242" i="1"/>
  <c r="G208" i="1"/>
  <c r="L208" i="1"/>
  <c r="T48" i="1"/>
  <c r="C295" i="1"/>
  <c r="P218" i="1"/>
  <c r="C165" i="1"/>
  <c r="C172" i="1"/>
  <c r="J172" i="1"/>
  <c r="Q172" i="1"/>
  <c r="H173" i="1"/>
  <c r="C173" i="1"/>
  <c r="M72" i="1"/>
  <c r="P56" i="1"/>
  <c r="D46" i="1"/>
  <c r="S56" i="1"/>
  <c r="G192" i="1"/>
  <c r="P258" i="1"/>
  <c r="S231" i="1"/>
  <c r="M37" i="1"/>
  <c r="T24" i="1"/>
  <c r="C24" i="1"/>
  <c r="R172" i="1"/>
  <c r="P28" i="1"/>
  <c r="R28" i="1"/>
  <c r="G20" i="1"/>
  <c r="G19" i="1"/>
  <c r="F47" i="1"/>
  <c r="T47" i="1"/>
  <c r="J294" i="1"/>
  <c r="H295" i="1"/>
  <c r="T299" i="1"/>
  <c r="R275" i="1"/>
  <c r="P299" i="1"/>
  <c r="D294" i="1"/>
  <c r="G294" i="1"/>
  <c r="N296" i="1"/>
  <c r="P48" i="1"/>
  <c r="L165" i="1"/>
  <c r="C183" i="1"/>
  <c r="H196" i="1"/>
  <c r="T32" i="1"/>
  <c r="K177" i="1"/>
  <c r="K257" i="1"/>
  <c r="H257" i="1"/>
  <c r="T260" i="1"/>
  <c r="R67" i="1"/>
  <c r="R257" i="1"/>
  <c r="L20" i="1"/>
  <c r="L19" i="1"/>
  <c r="M29" i="1"/>
  <c r="E46" i="1"/>
  <c r="H22" i="1"/>
  <c r="M22" i="1"/>
  <c r="G46" i="1"/>
  <c r="N271" i="1"/>
  <c r="N25" i="1"/>
  <c r="M26" i="1"/>
  <c r="O28" i="1"/>
  <c r="N50" i="1"/>
  <c r="N51" i="1"/>
  <c r="M54" i="1"/>
  <c r="T194" i="1"/>
  <c r="P195" i="1"/>
  <c r="P196" i="1"/>
  <c r="J20" i="1"/>
  <c r="E20" i="1"/>
  <c r="R48" i="1"/>
  <c r="T220" i="1"/>
  <c r="C258" i="1"/>
  <c r="T276" i="1"/>
  <c r="Q260" i="1"/>
  <c r="S21" i="1"/>
  <c r="S58" i="1"/>
  <c r="M176" i="1"/>
  <c r="Q196" i="1"/>
  <c r="Q231" i="1"/>
  <c r="P24" i="1"/>
  <c r="P67" i="1"/>
  <c r="M191" i="1"/>
  <c r="S210" i="1"/>
  <c r="N221" i="1"/>
  <c r="S223" i="1"/>
  <c r="N229" i="1"/>
  <c r="M301" i="1"/>
  <c r="M304" i="1"/>
  <c r="M30" i="1"/>
  <c r="C36" i="1"/>
  <c r="S36" i="1"/>
  <c r="K209" i="1"/>
  <c r="K208" i="1"/>
  <c r="P183" i="1"/>
  <c r="K20" i="1"/>
  <c r="K19" i="1"/>
  <c r="M23" i="1"/>
  <c r="T42" i="1"/>
  <c r="N54" i="1"/>
  <c r="M55" i="1"/>
  <c r="H67" i="1"/>
  <c r="T173" i="1"/>
  <c r="D177" i="1"/>
  <c r="P177" i="1"/>
  <c r="O183" i="1"/>
  <c r="K193" i="1"/>
  <c r="L192" i="1"/>
  <c r="T223" i="1"/>
  <c r="N301" i="1"/>
  <c r="N304" i="1"/>
  <c r="Q36" i="1"/>
  <c r="N43" i="1"/>
  <c r="M45" i="1"/>
  <c r="C48" i="1"/>
  <c r="O66" i="1"/>
  <c r="Q67" i="1"/>
  <c r="O173" i="1"/>
  <c r="O188" i="1"/>
  <c r="E198" i="1"/>
  <c r="E193" i="1"/>
  <c r="I205" i="1"/>
  <c r="O206" i="1"/>
  <c r="O218" i="1"/>
  <c r="N219" i="1"/>
  <c r="S276" i="1"/>
  <c r="S303" i="1"/>
  <c r="M306" i="1"/>
  <c r="T21" i="1"/>
  <c r="H28" i="1"/>
  <c r="T36" i="1"/>
  <c r="S44" i="1"/>
  <c r="M49" i="1"/>
  <c r="L46" i="1"/>
  <c r="T67" i="1"/>
  <c r="S198" i="1"/>
  <c r="R223" i="1"/>
  <c r="M237" i="1"/>
  <c r="M238" i="1"/>
  <c r="R249" i="1"/>
  <c r="M259" i="1"/>
  <c r="S260" i="1"/>
  <c r="N302" i="1"/>
  <c r="M178" i="1"/>
  <c r="N178" i="1"/>
  <c r="T249" i="1"/>
  <c r="G242" i="1"/>
  <c r="P249" i="1"/>
  <c r="O249" i="1"/>
  <c r="K242" i="1"/>
  <c r="N70" i="1"/>
  <c r="N175" i="1"/>
  <c r="N176" i="1"/>
  <c r="N215" i="1"/>
  <c r="N216" i="1"/>
  <c r="N250" i="1"/>
  <c r="N255" i="1"/>
  <c r="M271" i="1"/>
  <c r="S201" i="1"/>
  <c r="M33" i="1"/>
  <c r="M43" i="1"/>
  <c r="M179" i="1"/>
  <c r="N238" i="1"/>
  <c r="M38" i="1"/>
  <c r="N167" i="1"/>
  <c r="N207" i="1"/>
  <c r="M212" i="1"/>
  <c r="M234" i="1"/>
  <c r="M235" i="1"/>
  <c r="M236" i="1"/>
  <c r="N244" i="1"/>
  <c r="M267" i="1"/>
  <c r="N69" i="1"/>
  <c r="N185" i="1"/>
  <c r="N186" i="1"/>
  <c r="S202" i="1"/>
  <c r="N71" i="1"/>
  <c r="M187" i="1"/>
  <c r="M251" i="1"/>
  <c r="M256" i="1"/>
  <c r="M264" i="1"/>
  <c r="P272" i="1"/>
  <c r="D270" i="1"/>
  <c r="D269" i="1"/>
  <c r="C272" i="1"/>
  <c r="N272" i="1"/>
  <c r="S275" i="1"/>
  <c r="M25" i="1"/>
  <c r="O22" i="1"/>
  <c r="M27" i="1"/>
  <c r="M35" i="1"/>
  <c r="R36" i="1"/>
  <c r="J46" i="1"/>
  <c r="Q46" i="1"/>
  <c r="Q58" i="1"/>
  <c r="C66" i="1"/>
  <c r="P66" i="1"/>
  <c r="D20" i="1"/>
  <c r="C21" i="1"/>
  <c r="O21" i="1"/>
  <c r="N23" i="1"/>
  <c r="H24" i="1"/>
  <c r="O24" i="1"/>
  <c r="C28" i="1"/>
  <c r="N30" i="1"/>
  <c r="F31" i="1"/>
  <c r="T31" i="1"/>
  <c r="C32" i="1"/>
  <c r="O32" i="1"/>
  <c r="S32" i="1"/>
  <c r="O42" i="1"/>
  <c r="Q42" i="1"/>
  <c r="C44" i="1"/>
  <c r="O44" i="1"/>
  <c r="N45" i="1"/>
  <c r="M51" i="1"/>
  <c r="N55" i="1"/>
  <c r="H56" i="1"/>
  <c r="O56" i="1"/>
  <c r="Q66" i="1"/>
  <c r="C67" i="1"/>
  <c r="M68" i="1"/>
  <c r="I242" i="1"/>
  <c r="M252" i="1"/>
  <c r="N252" i="1"/>
  <c r="T270" i="1"/>
  <c r="S270" i="1"/>
  <c r="F269" i="1"/>
  <c r="S269" i="1"/>
  <c r="R295" i="1"/>
  <c r="Q32" i="1"/>
  <c r="Q44" i="1"/>
  <c r="M190" i="1"/>
  <c r="N190" i="1"/>
  <c r="P260" i="1"/>
  <c r="O260" i="1"/>
  <c r="D257" i="1"/>
  <c r="P257" i="1"/>
  <c r="S24" i="1"/>
  <c r="J31" i="1"/>
  <c r="N38" i="1"/>
  <c r="N49" i="1"/>
  <c r="M50" i="1"/>
  <c r="C58" i="1"/>
  <c r="O58" i="1"/>
  <c r="R173" i="1"/>
  <c r="Q173" i="1"/>
  <c r="T198" i="1"/>
  <c r="F193" i="1"/>
  <c r="P199" i="1"/>
  <c r="C199" i="1"/>
  <c r="M199" i="1"/>
  <c r="T206" i="1"/>
  <c r="F205" i="1"/>
  <c r="T205" i="1"/>
  <c r="S206" i="1"/>
  <c r="R210" i="1"/>
  <c r="J209" i="1"/>
  <c r="J208" i="1"/>
  <c r="Q210" i="1"/>
  <c r="R220" i="1"/>
  <c r="Q220" i="1"/>
  <c r="Q223" i="1"/>
  <c r="T231" i="1"/>
  <c r="S232" i="1"/>
  <c r="M248" i="1"/>
  <c r="N248" i="1"/>
  <c r="R24" i="1"/>
  <c r="Q56" i="1"/>
  <c r="F294" i="1"/>
  <c r="T294" i="1"/>
  <c r="T295" i="1"/>
  <c r="N26" i="1"/>
  <c r="Q28" i="1"/>
  <c r="N37" i="1"/>
  <c r="Q48" i="1"/>
  <c r="S166" i="1"/>
  <c r="T172" i="1"/>
  <c r="S172" i="1"/>
  <c r="M174" i="1"/>
  <c r="N174" i="1"/>
  <c r="N180" i="1"/>
  <c r="M180" i="1"/>
  <c r="Q184" i="1"/>
  <c r="M222" i="1"/>
  <c r="N222" i="1"/>
  <c r="H224" i="1"/>
  <c r="M224" i="1"/>
  <c r="N262" i="1"/>
  <c r="M262" i="1"/>
  <c r="N274" i="1"/>
  <c r="M274" i="1"/>
  <c r="P276" i="1"/>
  <c r="O276" i="1"/>
  <c r="P303" i="1"/>
  <c r="C303" i="1"/>
  <c r="N303" i="1"/>
  <c r="O303" i="1"/>
  <c r="M175" i="1"/>
  <c r="N179" i="1"/>
  <c r="M186" i="1"/>
  <c r="C194" i="1"/>
  <c r="T202" i="1"/>
  <c r="C203" i="1"/>
  <c r="M207" i="1"/>
  <c r="O210" i="1"/>
  <c r="M219" i="1"/>
  <c r="M229" i="1"/>
  <c r="N240" i="1"/>
  <c r="D242" i="1"/>
  <c r="M250" i="1"/>
  <c r="N259" i="1"/>
  <c r="N267" i="1"/>
  <c r="O272" i="1"/>
  <c r="E294" i="1"/>
  <c r="N306" i="1"/>
  <c r="P173" i="1"/>
  <c r="N181" i="1"/>
  <c r="R184" i="1"/>
  <c r="M185" i="1"/>
  <c r="C195" i="1"/>
  <c r="O196" i="1"/>
  <c r="J198" i="1"/>
  <c r="T201" i="1"/>
  <c r="N212" i="1"/>
  <c r="P224" i="1"/>
  <c r="N237" i="1"/>
  <c r="O247" i="1"/>
  <c r="Q249" i="1"/>
  <c r="M255" i="1"/>
  <c r="C260" i="1"/>
  <c r="M260" i="1"/>
  <c r="N264" i="1"/>
  <c r="I270" i="1"/>
  <c r="H270" i="1"/>
  <c r="C275" i="1"/>
  <c r="S295" i="1"/>
  <c r="M296" i="1"/>
  <c r="C218" i="1"/>
  <c r="S249" i="1"/>
  <c r="H275" i="1"/>
  <c r="O275" i="1"/>
  <c r="N189" i="1"/>
  <c r="M189" i="1"/>
  <c r="Q188" i="1"/>
  <c r="K46" i="1"/>
  <c r="Q21" i="1"/>
  <c r="Q47" i="1"/>
  <c r="F182" i="1"/>
  <c r="R231" i="1"/>
  <c r="F20" i="1"/>
  <c r="Q24" i="1"/>
  <c r="E31" i="1"/>
  <c r="I31" i="1"/>
  <c r="H32" i="1"/>
  <c r="N34" i="1"/>
  <c r="N35" i="1"/>
  <c r="M42" i="1"/>
  <c r="P42" i="1"/>
  <c r="H44" i="1"/>
  <c r="H47" i="1"/>
  <c r="H58" i="1"/>
  <c r="H66" i="1"/>
  <c r="S67" i="1"/>
  <c r="C166" i="1"/>
  <c r="O166" i="1"/>
  <c r="P165" i="1"/>
  <c r="H166" i="1"/>
  <c r="Q183" i="1"/>
  <c r="J177" i="1"/>
  <c r="S183" i="1"/>
  <c r="S184" i="1"/>
  <c r="T184" i="1"/>
  <c r="R196" i="1"/>
  <c r="M197" i="1"/>
  <c r="N197" i="1"/>
  <c r="I201" i="1"/>
  <c r="O202" i="1"/>
  <c r="T28" i="1"/>
  <c r="P32" i="1"/>
  <c r="I36" i="1"/>
  <c r="R42" i="1"/>
  <c r="P44" i="1"/>
  <c r="R47" i="1"/>
  <c r="H48" i="1"/>
  <c r="O48" i="1"/>
  <c r="S48" i="1"/>
  <c r="C56" i="1"/>
  <c r="T56" i="1"/>
  <c r="P58" i="1"/>
  <c r="O67" i="1"/>
  <c r="N72" i="1"/>
  <c r="O172" i="1"/>
  <c r="S173" i="1"/>
  <c r="E177" i="1"/>
  <c r="R183" i="1"/>
  <c r="Q203" i="1"/>
  <c r="H203" i="1"/>
  <c r="H202" i="1"/>
  <c r="S28" i="1"/>
  <c r="R166" i="1"/>
  <c r="T188" i="1"/>
  <c r="C188" i="1"/>
  <c r="S188" i="1"/>
  <c r="R21" i="1"/>
  <c r="N29" i="1"/>
  <c r="N33" i="1"/>
  <c r="I46" i="1"/>
  <c r="N57" i="1"/>
  <c r="N59" i="1"/>
  <c r="S66" i="1"/>
  <c r="N68" i="1"/>
  <c r="M167" i="1"/>
  <c r="M181" i="1"/>
  <c r="H184" i="1"/>
  <c r="N187" i="1"/>
  <c r="H188" i="1"/>
  <c r="N191" i="1"/>
  <c r="R206" i="1"/>
  <c r="E205" i="1"/>
  <c r="O220" i="1"/>
  <c r="H220" i="1"/>
  <c r="M233" i="1"/>
  <c r="N233" i="1"/>
  <c r="M69" i="1"/>
  <c r="M70" i="1"/>
  <c r="T165" i="1"/>
  <c r="P166" i="1"/>
  <c r="P172" i="1"/>
  <c r="O195" i="1"/>
  <c r="H195" i="1"/>
  <c r="C196" i="1"/>
  <c r="C200" i="1"/>
  <c r="M200" i="1"/>
  <c r="P200" i="1"/>
  <c r="O203" i="1"/>
  <c r="H206" i="1"/>
  <c r="J205" i="1"/>
  <c r="Q206" i="1"/>
  <c r="S218" i="1"/>
  <c r="T218" i="1"/>
  <c r="M230" i="1"/>
  <c r="N230" i="1"/>
  <c r="H232" i="1"/>
  <c r="O232" i="1"/>
  <c r="P202" i="1"/>
  <c r="P203" i="1"/>
  <c r="C220" i="1"/>
  <c r="P220" i="1"/>
  <c r="N239" i="1"/>
  <c r="M239" i="1"/>
  <c r="M254" i="1"/>
  <c r="N254" i="1"/>
  <c r="C184" i="1"/>
  <c r="O200" i="1"/>
  <c r="R203" i="1"/>
  <c r="N211" i="1"/>
  <c r="M211" i="1"/>
  <c r="N217" i="1"/>
  <c r="M217" i="1"/>
  <c r="Q218" i="1"/>
  <c r="R218" i="1"/>
  <c r="H218" i="1"/>
  <c r="P232" i="1"/>
  <c r="O199" i="1"/>
  <c r="R232" i="1"/>
  <c r="N263" i="1"/>
  <c r="M263" i="1"/>
  <c r="N305" i="1"/>
  <c r="M305" i="1"/>
  <c r="M215" i="1"/>
  <c r="S220" i="1"/>
  <c r="M221" i="1"/>
  <c r="T232" i="1"/>
  <c r="N234" i="1"/>
  <c r="M241" i="1"/>
  <c r="N241" i="1"/>
  <c r="Q258" i="1"/>
  <c r="H258" i="1"/>
  <c r="R258" i="1"/>
  <c r="R276" i="1"/>
  <c r="C276" i="1"/>
  <c r="I209" i="1"/>
  <c r="I208" i="1"/>
  <c r="T210" i="1"/>
  <c r="F209" i="1"/>
  <c r="M216" i="1"/>
  <c r="O224" i="1"/>
  <c r="N235" i="1"/>
  <c r="M240" i="1"/>
  <c r="T258" i="1"/>
  <c r="F257" i="1"/>
  <c r="J269" i="1"/>
  <c r="Q270" i="1"/>
  <c r="P295" i="1"/>
  <c r="F243" i="1"/>
  <c r="S243" i="1"/>
  <c r="M244" i="1"/>
  <c r="C247" i="1"/>
  <c r="N247" i="1"/>
  <c r="C249" i="1"/>
  <c r="H249" i="1"/>
  <c r="N251" i="1"/>
  <c r="N256" i="1"/>
  <c r="O258" i="1"/>
  <c r="N261" i="1"/>
  <c r="M261" i="1"/>
  <c r="N268" i="1"/>
  <c r="M268" i="1"/>
  <c r="N273" i="1"/>
  <c r="M273" i="1"/>
  <c r="Q276" i="1"/>
  <c r="H276" i="1"/>
  <c r="N300" i="1"/>
  <c r="M300" i="1"/>
  <c r="Q247" i="1"/>
  <c r="J243" i="1"/>
  <c r="S258" i="1"/>
  <c r="R260" i="1"/>
  <c r="N265" i="1"/>
  <c r="M265" i="1"/>
  <c r="R270" i="1"/>
  <c r="E269" i="1"/>
  <c r="O295" i="1"/>
  <c r="N297" i="1"/>
  <c r="M297" i="1"/>
  <c r="Q299" i="1"/>
  <c r="H299" i="1"/>
  <c r="R299" i="1"/>
  <c r="N307" i="1"/>
  <c r="M307" i="1"/>
  <c r="P243" i="1"/>
  <c r="N266" i="1"/>
  <c r="M266" i="1"/>
  <c r="S299" i="1"/>
  <c r="Q295" i="1"/>
  <c r="C299" i="1"/>
  <c r="O299" i="1"/>
  <c r="Q275" i="1"/>
  <c r="Q303" i="1"/>
  <c r="M12" i="1"/>
  <c r="N12" i="1"/>
  <c r="M71" i="1"/>
  <c r="M13" i="1"/>
  <c r="N13" i="1"/>
  <c r="M34" i="1"/>
  <c r="M57" i="1"/>
  <c r="M59" i="1"/>
  <c r="M11" i="1"/>
  <c r="N11" i="1"/>
  <c r="T9" i="1"/>
  <c r="R10" i="1"/>
  <c r="P10" i="1"/>
  <c r="Q9" i="1"/>
  <c r="Q10" i="1"/>
  <c r="H9" i="1"/>
  <c r="O10" i="1"/>
  <c r="R198" i="1"/>
  <c r="C198" i="1"/>
  <c r="N295" i="1"/>
  <c r="G8" i="1"/>
  <c r="C193" i="1"/>
  <c r="R31" i="1"/>
  <c r="L8" i="1"/>
  <c r="S193" i="1"/>
  <c r="F208" i="1"/>
  <c r="C208" i="1"/>
  <c r="C209" i="1"/>
  <c r="R294" i="1"/>
  <c r="T257" i="1"/>
  <c r="K192" i="1"/>
  <c r="K8" i="1"/>
  <c r="M44" i="1"/>
  <c r="F46" i="1"/>
  <c r="S47" i="1"/>
  <c r="T269" i="1"/>
  <c r="O177" i="1"/>
  <c r="H209" i="1"/>
  <c r="M210" i="1"/>
  <c r="Q198" i="1"/>
  <c r="J193" i="1"/>
  <c r="S205" i="1"/>
  <c r="C205" i="1"/>
  <c r="P205" i="1"/>
  <c r="I192" i="1"/>
  <c r="T193" i="1"/>
  <c r="Q209" i="1"/>
  <c r="J165" i="1"/>
  <c r="R165" i="1"/>
  <c r="H172" i="1"/>
  <c r="M172" i="1"/>
  <c r="M58" i="1"/>
  <c r="M272" i="1"/>
  <c r="O205" i="1"/>
  <c r="M66" i="1"/>
  <c r="S209" i="1"/>
  <c r="N24" i="1"/>
  <c r="N44" i="1"/>
  <c r="P36" i="1"/>
  <c r="N184" i="1"/>
  <c r="R46" i="1"/>
  <c r="P194" i="1"/>
  <c r="N56" i="1"/>
  <c r="M48" i="1"/>
  <c r="D19" i="1"/>
  <c r="D8" i="1"/>
  <c r="Q20" i="1"/>
  <c r="H21" i="1"/>
  <c r="M21" i="1"/>
  <c r="N22" i="1"/>
  <c r="I20" i="1"/>
  <c r="H20" i="1"/>
  <c r="P21" i="1"/>
  <c r="O194" i="1"/>
  <c r="T46" i="1"/>
  <c r="R20" i="1"/>
  <c r="E192" i="1"/>
  <c r="N28" i="1"/>
  <c r="C294" i="1"/>
  <c r="M275" i="1"/>
  <c r="J19" i="1"/>
  <c r="N224" i="1"/>
  <c r="M303" i="1"/>
  <c r="N67" i="1"/>
  <c r="M28" i="1"/>
  <c r="N232" i="1"/>
  <c r="M195" i="1"/>
  <c r="M203" i="1"/>
  <c r="S31" i="1"/>
  <c r="O257" i="1"/>
  <c r="C257" i="1"/>
  <c r="N166" i="1"/>
  <c r="N299" i="1"/>
  <c r="M67" i="1"/>
  <c r="R209" i="1"/>
  <c r="P270" i="1"/>
  <c r="M295" i="1"/>
  <c r="O242" i="1"/>
  <c r="N275" i="1"/>
  <c r="N258" i="1"/>
  <c r="M276" i="1"/>
  <c r="N173" i="1"/>
  <c r="M202" i="1"/>
  <c r="N32" i="1"/>
  <c r="P242" i="1"/>
  <c r="R205" i="1"/>
  <c r="M32" i="1"/>
  <c r="S294" i="1"/>
  <c r="C270" i="1"/>
  <c r="M270" i="1"/>
  <c r="M218" i="1"/>
  <c r="N203" i="1"/>
  <c r="I269" i="1"/>
  <c r="H269" i="1"/>
  <c r="O270" i="1"/>
  <c r="O223" i="1"/>
  <c r="H223" i="1"/>
  <c r="R269" i="1"/>
  <c r="M249" i="1"/>
  <c r="N220" i="1"/>
  <c r="M206" i="1"/>
  <c r="F192" i="1"/>
  <c r="O243" i="1"/>
  <c r="P223" i="1"/>
  <c r="C223" i="1"/>
  <c r="H183" i="1"/>
  <c r="Q294" i="1"/>
  <c r="M188" i="1"/>
  <c r="H294" i="1"/>
  <c r="O294" i="1"/>
  <c r="H231" i="1"/>
  <c r="M231" i="1"/>
  <c r="O231" i="1"/>
  <c r="P231" i="1"/>
  <c r="Q194" i="1"/>
  <c r="H194" i="1"/>
  <c r="M194" i="1"/>
  <c r="F19" i="1"/>
  <c r="T20" i="1"/>
  <c r="J242" i="1"/>
  <c r="Q243" i="1"/>
  <c r="R243" i="1"/>
  <c r="Q257" i="1"/>
  <c r="M247" i="1"/>
  <c r="N260" i="1"/>
  <c r="P201" i="1"/>
  <c r="C201" i="1"/>
  <c r="N196" i="1"/>
  <c r="M196" i="1"/>
  <c r="R177" i="1"/>
  <c r="T183" i="1"/>
  <c r="C20" i="1"/>
  <c r="M56" i="1"/>
  <c r="N66" i="1"/>
  <c r="H46" i="1"/>
  <c r="N188" i="1"/>
  <c r="C182" i="1"/>
  <c r="T182" i="1"/>
  <c r="F177" i="1"/>
  <c r="C177" i="1"/>
  <c r="S182" i="1"/>
  <c r="C269" i="1"/>
  <c r="N249" i="1"/>
  <c r="P294" i="1"/>
  <c r="Q269" i="1"/>
  <c r="O209" i="1"/>
  <c r="P208" i="1"/>
  <c r="P209" i="1"/>
  <c r="M232" i="1"/>
  <c r="N218" i="1"/>
  <c r="M220" i="1"/>
  <c r="N206" i="1"/>
  <c r="P198" i="1"/>
  <c r="M184" i="1"/>
  <c r="P31" i="1"/>
  <c r="C31" i="1"/>
  <c r="Q202" i="1"/>
  <c r="R202" i="1"/>
  <c r="J201" i="1"/>
  <c r="H201" i="1"/>
  <c r="N48" i="1"/>
  <c r="M166" i="1"/>
  <c r="S165" i="1"/>
  <c r="N58" i="1"/>
  <c r="M299" i="1"/>
  <c r="T209" i="1"/>
  <c r="Q177" i="1"/>
  <c r="H177" i="1"/>
  <c r="Q31" i="1"/>
  <c r="H243" i="1"/>
  <c r="T243" i="1"/>
  <c r="F242" i="1"/>
  <c r="C243" i="1"/>
  <c r="S257" i="1"/>
  <c r="N276" i="1"/>
  <c r="M258" i="1"/>
  <c r="N202" i="1"/>
  <c r="Q205" i="1"/>
  <c r="H205" i="1"/>
  <c r="H198" i="1"/>
  <c r="O198" i="1"/>
  <c r="R194" i="1"/>
  <c r="N195" i="1"/>
  <c r="M173" i="1"/>
  <c r="H36" i="1"/>
  <c r="O36" i="1"/>
  <c r="S20" i="1"/>
  <c r="O201" i="1"/>
  <c r="O165" i="1"/>
  <c r="C47" i="1"/>
  <c r="N47" i="1"/>
  <c r="O46" i="1"/>
  <c r="P47" i="1"/>
  <c r="H31" i="1"/>
  <c r="O31" i="1"/>
  <c r="E19" i="1"/>
  <c r="E8" i="1"/>
  <c r="M24" i="1"/>
  <c r="N42" i="1"/>
  <c r="O47" i="1"/>
  <c r="R9" i="1"/>
  <c r="O9" i="1"/>
  <c r="P9" i="1"/>
  <c r="N10" i="1"/>
  <c r="M10" i="1"/>
  <c r="M198" i="1"/>
  <c r="P269" i="1"/>
  <c r="S46" i="1"/>
  <c r="F8" i="1"/>
  <c r="C8" i="1"/>
  <c r="S192" i="1"/>
  <c r="T208" i="1"/>
  <c r="N172" i="1"/>
  <c r="R193" i="1"/>
  <c r="O193" i="1"/>
  <c r="H165" i="1"/>
  <c r="N165" i="1"/>
  <c r="Q165" i="1"/>
  <c r="R208" i="1"/>
  <c r="P193" i="1"/>
  <c r="T192" i="1"/>
  <c r="Q208" i="1"/>
  <c r="O20" i="1"/>
  <c r="I19" i="1"/>
  <c r="P20" i="1"/>
  <c r="N21" i="1"/>
  <c r="R19" i="1"/>
  <c r="N294" i="1"/>
  <c r="O269" i="1"/>
  <c r="N270" i="1"/>
  <c r="M20" i="1"/>
  <c r="M257" i="1"/>
  <c r="S208" i="1"/>
  <c r="M209" i="1"/>
  <c r="M183" i="1"/>
  <c r="N183" i="1"/>
  <c r="N243" i="1"/>
  <c r="M269" i="1"/>
  <c r="N198" i="1"/>
  <c r="N223" i="1"/>
  <c r="N205" i="1"/>
  <c r="M31" i="1"/>
  <c r="N269" i="1"/>
  <c r="N177" i="1"/>
  <c r="M223" i="1"/>
  <c r="M201" i="1"/>
  <c r="Q242" i="1"/>
  <c r="R242" i="1"/>
  <c r="H242" i="1"/>
  <c r="N231" i="1"/>
  <c r="T242" i="1"/>
  <c r="S242" i="1"/>
  <c r="C242" i="1"/>
  <c r="M177" i="1"/>
  <c r="M47" i="1"/>
  <c r="N182" i="1"/>
  <c r="M182" i="1"/>
  <c r="N20" i="1"/>
  <c r="N209" i="1"/>
  <c r="O192" i="1"/>
  <c r="M243" i="1"/>
  <c r="N201" i="1"/>
  <c r="M36" i="1"/>
  <c r="N36" i="1"/>
  <c r="M205" i="1"/>
  <c r="P192" i="1"/>
  <c r="C192" i="1"/>
  <c r="H208" i="1"/>
  <c r="O208" i="1"/>
  <c r="N257" i="1"/>
  <c r="Q19" i="1"/>
  <c r="M294" i="1"/>
  <c r="Q201" i="1"/>
  <c r="R201" i="1"/>
  <c r="T19" i="1"/>
  <c r="S19" i="1"/>
  <c r="C19" i="1"/>
  <c r="P46" i="1"/>
  <c r="C46" i="1"/>
  <c r="N46" i="1"/>
  <c r="N31" i="1"/>
  <c r="T177" i="1"/>
  <c r="S177" i="1"/>
  <c r="N194" i="1"/>
  <c r="J192" i="1"/>
  <c r="Q192" i="1"/>
  <c r="Q193" i="1"/>
  <c r="H193" i="1"/>
  <c r="N9" i="1"/>
  <c r="M9" i="1"/>
  <c r="M165" i="1"/>
  <c r="O19" i="1"/>
  <c r="I8" i="1"/>
  <c r="P8" i="1"/>
  <c r="J8" i="1"/>
  <c r="M193" i="1"/>
  <c r="P19" i="1"/>
  <c r="H19" i="1"/>
  <c r="M19" i="1"/>
  <c r="M208" i="1"/>
  <c r="N193" i="1"/>
  <c r="N242" i="1"/>
  <c r="S8" i="1"/>
  <c r="R192" i="1"/>
  <c r="M46" i="1"/>
  <c r="T8" i="1"/>
  <c r="H192" i="1"/>
  <c r="M192" i="1"/>
  <c r="M242" i="1"/>
  <c r="N208" i="1"/>
  <c r="O8" i="1"/>
  <c r="N19" i="1"/>
  <c r="Q8" i="1"/>
  <c r="R8" i="1"/>
  <c r="N192" i="1"/>
  <c r="H8" i="1"/>
  <c r="M8" i="1"/>
  <c r="N8" i="1"/>
</calcChain>
</file>

<file path=xl/sharedStrings.xml><?xml version="1.0" encoding="utf-8"?>
<sst xmlns="http://schemas.openxmlformats.org/spreadsheetml/2006/main" count="1251" uniqueCount="708">
  <si>
    <t>№ п/п</t>
  </si>
  <si>
    <t>Всего</t>
  </si>
  <si>
    <t>в том числе</t>
  </si>
  <si>
    <t xml:space="preserve"> бюджет Белоярского района</t>
  </si>
  <si>
    <t>бюджет ХМАО</t>
  </si>
  <si>
    <t xml:space="preserve">«Развитие малого и среднего предпринимательства и туризма в Белоярском районе на 2014 – 2020 годы» 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</si>
  <si>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</si>
  <si>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</si>
  <si>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</si>
  <si>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</si>
  <si>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«Развитие образования Белоярского района на 2014 – 2020 годы»</t>
  </si>
  <si>
    <t xml:space="preserve">Подпрограмма 2 «Поддержка социально ориентированных некоммерческих организаций» </t>
  </si>
  <si>
    <t>Подпрограмма 3 «Обеспечение реализации муниципальной программы»</t>
  </si>
  <si>
    <t xml:space="preserve">«Социальная поддержка отдельных категорий граждан на территории  Белоярского района на 2014-2020 годы» </t>
  </si>
  <si>
    <t xml:space="preserve">«Доступная среда на 2014 - 2020 годы» </t>
  </si>
  <si>
    <t xml:space="preserve">Наименование  муниципальной программы, подпрограммы, мероприятий 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</si>
  <si>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</si>
  <si>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</si>
  <si>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</si>
  <si>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</si>
  <si>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 xml:space="preserve">«Развитие культуры Белоярского района на 2014 – 2020 годы» </t>
  </si>
  <si>
    <t>Подпрограмма 1 «Развитие физической культуры и массового спорта»</t>
  </si>
  <si>
    <t>Участие спортивных сборных команд Белоярского района в спортивно-массовых мероприятиях</t>
  </si>
  <si>
    <t>Подпрограмма 2 «Организация и осуществление мероприятий по работе с детьми и молодежью»</t>
  </si>
  <si>
    <t>Обеспечение деятельности муниципального казенного учреждения Белоярского района «Молодежный центр «Спутник»</t>
  </si>
  <si>
    <t>Подпрограмма 3 «Организация отдыха и оздоровления детей»</t>
  </si>
  <si>
    <t>Предоставление детям в возрасте от 6 до 17 лет (включительно), проживающим на территории Белоярского района, в том числе находящимся в трудной жизненной и иной ситуации, детям-сиротам и детям, оставшихся без попечения родителей, путевок в организации, обеспечивающие отдых и оздоровление детей</t>
  </si>
  <si>
    <t>Оплата стоимости проезда к местам сбора организованных групп и обратно  детям, проявившим способности в сфере физической культуры и спорта, молодежной политики</t>
  </si>
  <si>
    <t>Оплата услуг лиц, сопровождающих детей к местам сбора организованных групп и обратно  детям, проявившим способности в сфере физической культуры и спорта, молодежной политики</t>
  </si>
  <si>
    <t>Организация работы в клубах по месту  жительства на базе молодежных клубов МКУ МЦ «Спутник» в каникулярное время</t>
  </si>
  <si>
    <t>Проведение семинаров, участие специалистов в обучающих семинарах и совещаниях организаторов оздоровления, отдыха, занятости детей</t>
  </si>
  <si>
    <t>«Развитие физической культуры, спорта и молодежной политики на территории  Белоярского района  на 2014 – 2020 годы»</t>
  </si>
  <si>
    <t>Проведение диспансеризации муниципальных служащих</t>
  </si>
  <si>
    <t>«Развитие агропромышленного комплекса на 2014 – 2020 годы»</t>
  </si>
  <si>
    <t>Инженерные сети к жилым домам новой застройки поселений Белоярского района</t>
  </si>
  <si>
    <t>Подпрограмма 2 «Обеспечение градостроительной деятельности на территории Белоярского района»</t>
  </si>
  <si>
    <t>Подпрограмма 3 «Улучшение жилищных условий населения Белоярского района»</t>
  </si>
  <si>
    <t>«Обеспечение доступным и комфортным жильем жителей Белоярского района в 2014 – 2020 годах»</t>
  </si>
  <si>
    <t>Подпрограмма 1 «Содействие развитию жилищного строительства на территории Белоярского района»</t>
  </si>
  <si>
    <t>Подпрограмма 1 «Модернизация и реформирование жилищно-коммунального комплекса Белоярского района»</t>
  </si>
  <si>
    <t xml:space="preserve">Подпрограмма 2 «Энергосбережение и повышение энергетической эффективности» </t>
  </si>
  <si>
    <t>«Развитие жилищно-коммунального комплекса и повышение энергетической эффективности в Белоярском районе на 2014 – 2020 годы»</t>
  </si>
  <si>
    <t>Информационное обеспечение профилактики дорожного травматизма и безопасности дорожного движения</t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</si>
  <si>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2014 - 2020 годы»</t>
  </si>
  <si>
    <t>Подпрограмма 2: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</si>
  <si>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Обеспечение надлежащего уровня эксплуатации муниципального имущества</t>
  </si>
  <si>
    <t>«Информационное общество на 2014-2020 годы»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</si>
  <si>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</si>
  <si>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</si>
  <si>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</si>
  <si>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Воздушный транспорт</t>
  </si>
  <si>
    <t>Автомобильный транспорт</t>
  </si>
  <si>
    <t>Водный транспорт</t>
  </si>
  <si>
    <t>«Развитие транспортной системы Белоярского района на 2014-2020 годы»</t>
  </si>
  <si>
    <t>Подпрограмма 1. Долгосрочное финансовое планирование и организация бюджетного процесса</t>
  </si>
  <si>
    <t>Подпрограмма 2. Управление муниципальным долгом</t>
  </si>
  <si>
    <t>Планирование ассигнований на погашение долговых обязательств Белоярского района*</t>
  </si>
  <si>
    <t>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</si>
  <si>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t>Подпрограмма 4 «Обеспечение реализации муниципальной программы»</t>
  </si>
  <si>
    <t>Федеральный бюджет</t>
  </si>
  <si>
    <t xml:space="preserve">«Управление муниципальным имуществом на 2014-2020 годы»
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</si>
  <si>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
</t>
  </si>
  <si>
    <t>Отчет</t>
  </si>
  <si>
    <t>Подпрограмма II «Развитие муниципальной службы в Белоярском районе»</t>
  </si>
  <si>
    <t>тыс.руб.</t>
  </si>
  <si>
    <t>«Повышение эффективности деятельности органов местного самоуправления Белоярского района на 2014-2020 годы»</t>
  </si>
  <si>
    <t>«Охрана окружающей среды на 2014 - 2020 годы»</t>
  </si>
  <si>
    <t>«Социально-экономическое развитие коренных малочисленных народов Севера на территории Белоярского района на 2014-2020 годы»</t>
  </si>
  <si>
    <t>Подпрограмма 3. Повышение эффективности бюджетных расходов</t>
  </si>
  <si>
    <t>%</t>
  </si>
  <si>
    <t>Относительное/абсолютное отклонение исполнения муниципальных программ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</si>
  <si>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</si>
  <si>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</si>
  <si>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</si>
  <si>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</si>
  <si>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</si>
  <si>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</si>
  <si>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</si>
  <si>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</si>
  <si>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</si>
  <si>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</si>
  <si>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</si>
  <si>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</si>
  <si>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</si>
  <si>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</si>
  <si>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</si>
  <si>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</si>
  <si>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</si>
  <si>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</si>
  <si>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</si>
  <si>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</si>
  <si>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</si>
  <si>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</si>
  <si>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</si>
  <si>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</si>
  <si>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Подпрограмма 1  «Развитие физической культуры и массового спорта»</t>
  </si>
  <si>
    <t xml:space="preserve">   чел.</t>
  </si>
  <si>
    <t>ед.</t>
  </si>
  <si>
    <t>% выполнения за отчетный период</t>
  </si>
  <si>
    <t>Уменьшение доли подростков, состоящих на учете в комиссии по делам несовершеннолетних, от общей численности детей в возрасте от 6 до 17 лет (включительно)</t>
  </si>
  <si>
    <t>Подпрограмма 3    «Организация отдыха и оздоровления детей»</t>
  </si>
  <si>
    <t>чел</t>
  </si>
  <si>
    <t>чел.</t>
  </si>
  <si>
    <t>7.</t>
  </si>
  <si>
    <t>Объем реализации сжиженного газа населению на территории сельских поселений Белоярского района</t>
  </si>
  <si>
    <t>кг</t>
  </si>
  <si>
    <t>Объем реализации электрической энергии в зоне децентрализованного электроснабжения</t>
  </si>
  <si>
    <t>Обеспечение энергоснабжения сети уличного освещения</t>
  </si>
  <si>
    <t>тыс. кв.м.</t>
  </si>
  <si>
    <t>-</t>
  </si>
  <si>
    <t>в том числе для муниципальных нужд в рамках муниципальной программы</t>
  </si>
  <si>
    <t>Снос ветхого и аварийного жилья в год</t>
  </si>
  <si>
    <t>семья</t>
  </si>
  <si>
    <t>Га</t>
  </si>
  <si>
    <t>Увеличение общей площади жилых помещений, приходящейся в среднем на 1 жителя</t>
  </si>
  <si>
    <t>Удельный вес ветхого и аварийного жилищного фонда во всем жилищном фонде</t>
  </si>
  <si>
    <t xml:space="preserve"> «Обеспечение доступным и комфортным жильем жителей Белоярского района в 2014 – 2020 годах»</t>
  </si>
  <si>
    <t>Приобретение предметов народного промысла для обустройства этнографической экспозиции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</si>
  <si>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</si>
  <si>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Доля муниципальных служащих, прошедших  диспансеризацию, от потребности</t>
  </si>
  <si>
    <t>экз.</t>
  </si>
  <si>
    <t>шт.</t>
  </si>
  <si>
    <t>тонн</t>
  </si>
  <si>
    <t>Отдел сбора и обработки статинформации Ханты-Мансийскстата в г.Белоярский</t>
  </si>
  <si>
    <t>человек</t>
  </si>
  <si>
    <t>Доля населения, вовлеченного в эколого-просветительские и эколого-образовательные мероприятия, от общей численности населения Белоярского района</t>
  </si>
  <si>
    <t>объект</t>
  </si>
  <si>
    <t xml:space="preserve">экз.     </t>
  </si>
  <si>
    <t>Доля библиотечных фондов общедоступных библиотек, отраженных в электронных каталогах</t>
  </si>
  <si>
    <t>кв.см</t>
  </si>
  <si>
    <t>мин.</t>
  </si>
  <si>
    <t xml:space="preserve">Количество лиц с ограниченными возможностями, воспользовавшихся услугами учреждений культуры </t>
  </si>
  <si>
    <t>Увеличение количества субъектов малого и среднего предпринимательства</t>
  </si>
  <si>
    <t>Увеличение среднесписочной численности работников занятых у субъектов малого и среднего предпринимательства</t>
  </si>
  <si>
    <t>Отдел развития предпринимательства и потребительского рынка администрации Белоярского района</t>
  </si>
  <si>
    <t xml:space="preserve">Увеличение количества субъектов малого и среднего предпринимательства  на 10 тыс. населения </t>
  </si>
  <si>
    <t>Подпрограмма 2 «Развитие муниципальной службы в Белоярском районе»</t>
  </si>
  <si>
    <t>Увеличение количества мероприятий информационно-пропагандистского сопровождения деятельности по противодействию терроризму и экстремизму (не менее указанного значения)</t>
  </si>
  <si>
    <t>кол-во</t>
  </si>
  <si>
    <t>Обеспечение функционирования видеокамер и оборудования городской системы видеонаблюдения</t>
  </si>
  <si>
    <t>Отдел по организации профилактики правонарушений</t>
  </si>
  <si>
    <t>ОМВД по Белоярскому району</t>
  </si>
  <si>
    <t>Доля уличных преступлений в числе зарегистрированных общеуголовных преступлений</t>
  </si>
  <si>
    <t>Комитет по социальной политике администрации Белоярского района</t>
  </si>
  <si>
    <t>Количество социально значимых мероприятий, проводимых социально ориентированными некоммерческими организациями</t>
  </si>
  <si>
    <t>Увеличение численности инвалидов и других маломобильных групп населения, принимающих участие в спортивных и культурных мероприятиях</t>
  </si>
  <si>
    <t>Снижение удельного веса неиспользуемого недвижимого имущества  в общем количестве  недвижимого имущества муниципального образования</t>
  </si>
  <si>
    <t>Снижение удельного веса расходов на предпродажную подготовку имущества в общем объеме средств  полученных от реализации имущества, в том числе от приватизации муниципального имущества</t>
  </si>
  <si>
    <t>Увеличение доли объектов недвижимого имущества, на которые зарегистрировано право собственности, в общем объеме объектов, подлежащих регистрации</t>
  </si>
  <si>
    <t>Количество оказываемых государственных и муниципальных услуг в МФЦ</t>
  </si>
  <si>
    <t>Среднее количество обращений в месяц</t>
  </si>
  <si>
    <t>По данным отчетности МФЦ</t>
  </si>
  <si>
    <t>Уровень удовлетворенности населения качеством организации предоставления государственных и муниципальных услуг</t>
  </si>
  <si>
    <t>Доля граждан, имеющих доступ к получению государственных и муниципальных услуг по принципу «одного окна» по месту пребывания</t>
  </si>
  <si>
    <t>Методика  проведения мониторинга значений показателя «Доля  граждан, имеющих доступ к получению государственных и муниципальных услуг по принципу "одного окна" по месту пребывания, в том числе в многофункциональных центрах предоставления государственных услуг»</t>
  </si>
  <si>
    <t>«Социальная поддержка отдельных категорий граждан на территории  Белоярского района на 2014-2020 годы»</t>
  </si>
  <si>
    <t>Количество рейсов воздушного транспорта в год</t>
  </si>
  <si>
    <t>Количество рейсов автомобильного транспорта в год</t>
  </si>
  <si>
    <t>Количество рейсов водного транспорта в год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</si>
  <si>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</si>
  <si>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</si>
  <si>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</si>
  <si>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</si>
  <si>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Подпрограмма 1 «Долгосрочное финансовое планирование и организация бюджетного процесса»</t>
  </si>
  <si>
    <t>Исполнение расходных обязательств Белоярского района за отчетный финансовый год в размере не менее 95% от бюджетных ассигнований, утвержденных решением Думы Белоярского района о бюджете Белоярского района</t>
  </si>
  <si>
    <t>≥95</t>
  </si>
  <si>
    <t>Подпрограмма 2 «Управление муниципальным долгом»</t>
  </si>
  <si>
    <t xml:space="preserve">% </t>
  </si>
  <si>
    <t>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</si>
  <si>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Информация о фактической среднемесячной заработной плате работников образовательных организаций</t>
  </si>
  <si>
    <t>тыс. кВ/ч</t>
  </si>
  <si>
    <t>голов</t>
  </si>
  <si>
    <t>«Управление муниципальным имуществом на 2014-2020 годы»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</si>
  <si>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</t>
  </si>
  <si>
    <t>Балл</t>
  </si>
  <si>
    <t>Увеличение доли среднесписочной численности занятых у субъектов малого и среднего предпринимательства</t>
  </si>
  <si>
    <t>Подпрограмма 1 «Общее образование. Дополнительное образование детей»</t>
  </si>
  <si>
    <t xml:space="preserve">Доля детей в возрасте от трех до семи лет, получающих дошкольную образовательную услугу в общей численности детей от трех до семи лет </t>
  </si>
  <si>
    <t xml:space="preserve"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 </t>
  </si>
  <si>
    <t xml:space="preserve">Доля учащихся общеобразовательных учреждений, которым обеспечена возможность пользоваться учебным оборудованием для практических работ и интерактивными учебными пособиями в соответствии с федеральными государственными образовательными стандартами (далее – ФГОС) (в общей численности учащихся, обучающихся по ФГОС) </t>
  </si>
  <si>
    <t xml:space="preserve"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(в общей численности населения в возрасте 7 – 18 лет) </t>
  </si>
  <si>
    <t xml:space="preserve">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 </t>
  </si>
  <si>
    <t xml:space="preserve">Доля детей в возрасте 5 - 18 лет, охваченных программами дополнительного образования (за счет бюджетных средств), в общей численности детей в возрасте 5-18 лет  </t>
  </si>
  <si>
    <t xml:space="preserve"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  </t>
  </si>
  <si>
    <t xml:space="preserve"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 </t>
  </si>
  <si>
    <t>Подпрограмма 2 «Система оценки качества образования и информационная прозрачность системы образования»</t>
  </si>
  <si>
    <t xml:space="preserve">Отношение среднего балла единого государственного экзамена (в расчете на 1 обязательный предмет) в 10 % школ с лучшими результатами единого государственного экзамена к среднему баллу единого государственного экзамена (в расчете на 1 обязательный предмет) в 10 % школ с худшими результатами ЕГЭ </t>
  </si>
  <si>
    <t xml:space="preserve">Доля выпускников общеобразовательных учреждений, не получивших аттестат о среднем общем образовании </t>
  </si>
  <si>
    <t xml:space="preserve">Доля учащихся 5-11 классов, принявших участие в школьном этапе Всероссийской олимпиады школьников (в общей численности учащихся 5-11 классов) </t>
  </si>
  <si>
    <t>Подпрограмма 3 «Ресурсное обеспечение системы образования»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</si>
  <si>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</si>
  <si>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 xml:space="preserve">Доля общеобразовательных учреждений, в которых создана универсальная безбарьерная среда, позволяющая обучаться совместно детям-инвалидам и детям, не имеющим нарушений развития </t>
  </si>
  <si>
    <t>Подпрограмма 1 «Социальная поддержка отдельных категорий граждан на территории Белоярского района»</t>
  </si>
  <si>
    <t xml:space="preserve">Количество граждан, получающих социальную поддержку </t>
  </si>
  <si>
    <t>Численность граждан, охваченных социально значимыми мероприятиями</t>
  </si>
  <si>
    <t>Подпрограмма 2 «Поддержка социально ориентированных некоммерческих организаций»</t>
  </si>
  <si>
    <t>Количество социально ориентированных некоммерческих организаций, получивших финансовую поддержку</t>
  </si>
  <si>
    <t>Численность граждан, охваченных социально значимыми мероприятиями, проводимыми социально ориентированными некоммерческими организациями</t>
  </si>
  <si>
    <t>Обеспечение выполнения полномочий и функций Комитета</t>
  </si>
  <si>
    <t>Увеличение численности инвалидов, обеспеченных информационной доступностью к средствам массовой информации</t>
  </si>
  <si>
    <t>Библиотечный фонд на 1000 жителей</t>
  </si>
  <si>
    <t xml:space="preserve">Рост количества выставочных проектов, организованных на базе выставочного зала по отношению к 2011 году </t>
  </si>
  <si>
    <t>Подпрограмма 1  «Повышение качества культурных услуг, представляемых в области библиотечного, выставочного дела»</t>
  </si>
  <si>
    <t>Подпрограмма 2 «Реализация творческого потенциала жителей Белоярского района»</t>
  </si>
  <si>
    <t>Доля детей, привлекаемых к участию в творческих мероприятиях, от общего числа детей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</si>
  <si>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телеэфире»</t>
  </si>
  <si>
    <t xml:space="preserve">Площадь печатных полос газеты «Белоярские вести», «Белоярские вести. Официальный выпуск»  </t>
  </si>
  <si>
    <t xml:space="preserve">Количество номеров газеты «Белоярские вести», «Белоярские вести. Официальный выпуск» </t>
  </si>
  <si>
    <t xml:space="preserve">Количество эфирного времени на телевещании </t>
  </si>
  <si>
    <t>Подпрограмма 4  «Создание условий для реализации мероприятий муниципальной программы»</t>
  </si>
  <si>
    <t xml:space="preserve">Уровень удовлетворенности жителей качеством услуг, предоставляемых учреждениями культуры </t>
  </si>
  <si>
    <t>Отношение среднемесячной заработной платы  работников учреждений культуры к средней заработной плате в Ханты-Мансийском автономном округе Югре</t>
  </si>
  <si>
    <t>Подпрограмма 5 «Развитие отраслевой инфраструктуры»</t>
  </si>
  <si>
    <t xml:space="preserve">Сохранение уровня материально-технического обеспечения учреждений культуры 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</si>
  <si>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</si>
  <si>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Посещаемость выставочного зала (на 1 жителя в год)</t>
  </si>
  <si>
    <t>Численность спортсменов с присвоенными массовыми разрядами</t>
  </si>
  <si>
    <t>Количество завоеванных медалей спортсменами Белоярского района на соревнованиях различного уровня</t>
  </si>
  <si>
    <t>Увеличение количества проведенных мероприятий для молодежи</t>
  </si>
  <si>
    <t>Увеличение количества молодежи, принимающей участие в молодежных мероприятиях</t>
  </si>
  <si>
    <t>Увеличение численности детей, охваченных малозатратными формами отдыха</t>
  </si>
  <si>
    <t>Обеспечение условий для организации отдыха и оздоровления детей</t>
  </si>
  <si>
    <t>Подпрограмма 4    «Обеспечение реализации муниципальной программы»</t>
  </si>
  <si>
    <t>Подпрограмма 1 «Функционирование органов местного самоуправления Белоярского района»</t>
  </si>
  <si>
    <t>Обеспечение выполнения полномочий и  функций органов местного самоуправления Белоярского района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</si>
  <si>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</t>
  </si>
  <si>
    <t>Увеличение производства скота и птицы на убой   сельскохозяйственными организациями и крестьянскими (фермерскими) хозяйствами (в живом весе)</t>
  </si>
  <si>
    <t>тыс. тонн</t>
  </si>
  <si>
    <t>Увеличение производства молока сельскохозяйственными организациями и крестьянскими (фермерскими) хозяйствами</t>
  </si>
  <si>
    <t>Увеличение объёма добычи (вылова) рыбы – сырца рыбодобывающими предприятиями</t>
  </si>
  <si>
    <t>Увеличение поголовья северных оленей в хозяйствах всех категорий</t>
  </si>
  <si>
    <t>тыс. голов</t>
  </si>
  <si>
    <t>Увеличение объёмов заготовки дикоросов</t>
  </si>
  <si>
    <t>Предоставление государственных услуг при реализации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</si>
  <si>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Участие сельскохозяйственных предприятий, крестьянских (фермерских) хозяйств в конкурсах профессионального мастерства</t>
  </si>
  <si>
    <t>Проведение мероприятий, направленных на сохранение культурного наследия коренных малочисленных народов</t>
  </si>
  <si>
    <t>кв.м.</t>
  </si>
  <si>
    <t>Количество семей, получивших меры поддержки для улучшения жилищных условий в год</t>
  </si>
  <si>
    <t>Площадь земельных участков предоставляемых для жилищного строительства, обеспеченных коммунальной инфраструктурой</t>
  </si>
  <si>
    <t>Обеспеченность муниципальных образований Белоярского района качественной градостроительной документацией</t>
  </si>
  <si>
    <t>Снижение доли объемов сточных вод сбрасываемых на рельеф</t>
  </si>
  <si>
    <t>Удельный вес проб воды, отбор которых произведен из водопроводной сети, не отвечающих гигиеническим нормативам: по санитарно-химическим показателям</t>
  </si>
  <si>
    <t>Удельный вес проб воды, отбор которых произведен из водопроводной сети, не отвечающих гигиеническим нормативам: по микробиологическим показателям</t>
  </si>
  <si>
    <t>Подпрограмма 4 «Переселение граждан из аварийного жилищного фонда»</t>
  </si>
  <si>
    <t>Обеспечение текущего содержания объектов  благоустройства на территории г.п. Белоярский</t>
  </si>
  <si>
    <t>домов</t>
  </si>
  <si>
    <t>Количество обслуживаемых мест захоронений, зданий и сооружений похоронного назначения</t>
  </si>
  <si>
    <t>Обеспечение выполнения работ по погребению согласно гарантированного перечня</t>
  </si>
  <si>
    <t>Уровень толерантного отношения к представителям другой национальности</t>
  </si>
  <si>
    <t>Доля граждан, положительно оценивающих состояние межнациональных отношений в Белоярском районе, в общем количестве граждан</t>
  </si>
  <si>
    <t>Доля граждан, положительно оценивающих состояние межконфессиональных отношений в Белоярском районе</t>
  </si>
  <si>
    <t>Количество фактов экстремистских проявлений на почве религиозной и национальной ненависти</t>
  </si>
  <si>
    <t>Доля административных правонарушений, предусмотренных ст. 12.9, 12.12, 12.19 КоАП РФ выявленных с помощью технических средств фото-видеофиксации, в общем количестве таких правонарушений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</si>
  <si>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КоАП РФ), в общем количестве таких правонарушений</t>
  </si>
  <si>
    <t>Подпрограмма 1 «Укрепление пожарной безопасности»</t>
  </si>
  <si>
    <t>балл</t>
  </si>
  <si>
    <t>Количество введенных в эксплуатацию объектов размещения твердых коммунальных (бытовых) отходов</t>
  </si>
  <si>
    <t>Доля обеспеченности поселений полигонами твердых коммунальных (бытовых) отходов</t>
  </si>
  <si>
    <t>Доля площади рекультивированных территорий санкционированных свалок твердых коммунальных (бытовых) отходов</t>
  </si>
  <si>
    <t xml:space="preserve">Обеспечение выполнения полномочий и функций Комитета муниципальной собственности </t>
  </si>
  <si>
    <t>Исполнение плана по налоговым и неналоговым доходам, утвержденного решением Думы Белоярского района о бюджете Белоярского района (без учёта доходов по штрафам, санкциям, от возмещения ущерба), на уровне не менее 95%</t>
  </si>
  <si>
    <t>Сохранение высокого качества организации и осуществления бюджетного процесса в Белоярском районе, место в рейтинге муниципальных образований не ниже 3</t>
  </si>
  <si>
    <t>≤3</t>
  </si>
  <si>
    <t>Размер резервного фонда администрации Белоярского района от первоначально утвержденного общего объема расходов бюджета Белоярского района</t>
  </si>
  <si>
    <t>˂3</t>
  </si>
  <si>
    <t>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 Белоярского района не более 15 %</t>
  </si>
  <si>
    <t>≤15</t>
  </si>
  <si>
    <t>Соблюдение в течение финансового года ограничений по предельному объему муниципального долга, установленных бюджетным законодательством  (ст.107 БК.РФ), при условии соблюдения – 1, не соблюдение – 0</t>
  </si>
  <si>
    <t>Доля главных распорядителей бюджетных средств Белоярского района, имеющих оценку качества финансового менеджмента более 80 баллов</t>
  </si>
  <si>
    <t>Публикация в сети Интернет брошюры «Бюджет для граждан», брошюра опубликована – 1, не опубликована – 0</t>
  </si>
  <si>
    <t>Увеличение количества граждан, охваченных мероприятиями, направленными на повышение финансовой грамотности до 573 человек</t>
  </si>
  <si>
    <t>Исполнение плана по налоговым и неналоговым доходам, утвержденного решениями представительных органов  городского и сельских поселений  Белоярского района о бюджете (без учёта доходов по штрафам, санкциям, от возмещения ущерба), на уровне не менее 95%</t>
  </si>
  <si>
    <t>Отсутствие просроченной кредиторской задолженности в бюджетах поселений, (отсутствие задолженности – 1, наличие - 0)</t>
  </si>
  <si>
    <t>Рост средней итоговой оценки качества организации и осуществления бюджетного процесса в поселениях Белоярского района, до 85 баллов</t>
  </si>
  <si>
    <t>Подпрограмма 1: «Укрепление пожарной безопасности»</t>
  </si>
  <si>
    <t>Выполнено за отчетный период</t>
  </si>
  <si>
    <t>Данные представлены ОНД по     г. Белоярский и району</t>
  </si>
  <si>
    <t>Подпрограмма 2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</si>
  <si>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«Совершенствование 
межбюджетных отношений в Белоярском районе на 2014-2020 годы»</t>
  </si>
  <si>
    <t>Информационно-пропагандистское сопровождение противодействия терроризму и экстремизму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</si>
  <si>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</si>
  <si>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Департамент общественных и внешних связей ХМАО</t>
  </si>
  <si>
    <t>Производство, переработка, заготовка и реализация мяса оленей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</si>
  <si>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</si>
  <si>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Обеспечение деятельности муниципальных общеобразовательных учреждений Белоярского района</t>
  </si>
  <si>
    <t>Организация проведения мероприятий</t>
  </si>
  <si>
    <t xml:space="preserve">Стимулирование лидеров и поддержка системы воспитания </t>
  </si>
  <si>
    <t>Информационное и организационно-методическое сопровождение реализации Программы</t>
  </si>
  <si>
    <t>Реализация мероприятий</t>
  </si>
  <si>
    <t>Организация отдыха и оздоровления детей в лагере с дневным  пребыванием детей  на базе учреждений физической культуры и спорта Белоярского района</t>
  </si>
  <si>
    <t>Организация отдыха и оздоровления детей в лагере с дневным  пребыванием детей  на базе учреждений молодежной политики Белоярского района</t>
  </si>
  <si>
    <t xml:space="preserve">Организация работы временных спортивных площадок и обеспечение проведения комплексных спортивно-массовых мероприятий  </t>
  </si>
  <si>
    <t>Протоколы, выписки из протоколов соревнований</t>
  </si>
  <si>
    <t>Статистический отчет 1-ФК</t>
  </si>
  <si>
    <t>План мероприятий по молодёжной политике, отчеты молодежных клубов</t>
  </si>
  <si>
    <t xml:space="preserve">Статистические отчеты молодежных клубов, количество реализованных билетов, посадочных мест </t>
  </si>
  <si>
    <t>Постановления ТКДНиЗП</t>
  </si>
  <si>
    <t>Паспорта материально-технической оснащенности учреждений</t>
  </si>
  <si>
    <t>Проектная мощность муниципальных образовательных учреждений, согласованная с Роспотребнадзором</t>
  </si>
  <si>
    <t>Подпрограмма 1  «Содействие развитию жилищного строительства на территории Белоярского района»</t>
  </si>
  <si>
    <t>Строительство жилья</t>
  </si>
  <si>
    <t>Подпрограмма 2 «Градостроительная деятельность на территории  Белоярского района»</t>
  </si>
  <si>
    <t>Документация по планировке территории</t>
  </si>
  <si>
    <t>Обеспечение водоснабжением г.Белоярский</t>
  </si>
  <si>
    <t xml:space="preserve">Подпрограмма 3 «Проведение капитального ремонта многоквартирных домов» </t>
  </si>
  <si>
    <t>Субсидии по содержанию авторечвокзала</t>
  </si>
  <si>
    <t>Оказание адресной социальной помощи и социальной поддержки отдельным категориям граждан</t>
  </si>
  <si>
    <t xml:space="preserve">Проведение конкурса художественного творчества </t>
  </si>
  <si>
    <t>Проведение конкурса худ-го творчества для детей</t>
  </si>
  <si>
    <t>Оформление подписки на газету</t>
  </si>
  <si>
    <t>Обеспечение деятельности  учреждений (БЦБС)</t>
  </si>
  <si>
    <t xml:space="preserve">Модернизация общедоступных муниципальных библиотек </t>
  </si>
  <si>
    <t>Проведение районного семинара для работников библиотек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</si>
  <si>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</si>
  <si>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</si>
  <si>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</si>
  <si>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</si>
  <si>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Проведение семинара-практикума «Казымская береста»</t>
  </si>
  <si>
    <t>Проведение традиционного праздника "Нарождение луны"</t>
  </si>
  <si>
    <t>Подпрограмма  II «Реализация творческого потенциала жителей Белоярского района»</t>
  </si>
  <si>
    <t>Обеспечение деятельности  учреждений  (ДШИ)</t>
  </si>
  <si>
    <t>Подпрограмма III  «Создание условий для информационного обеспечения населения Белоярского района посредством печатных средств массовой информации, а также в теле эфире»</t>
  </si>
  <si>
    <t>Подпрограмма  IV «Создание условий для реализации мероприятий муниципальной программы»</t>
  </si>
  <si>
    <t xml:space="preserve">Финансовое обеспечение полномочий  Комитета </t>
  </si>
  <si>
    <t>Организация и исполнение материально-технического обеспечения учреждений (СМТО)</t>
  </si>
  <si>
    <t>Подпрограмма V «Развитие отраслевой инфраструктуры»</t>
  </si>
  <si>
    <t>Подпрограмма VI «Формирование доступной среды жизнедеятельности для инвалидов и других маломобильных групп населения в учреждениях культуры»</t>
  </si>
  <si>
    <t>Подпрограмма I «Функционирование органов местного самоуправления Белоярского района»</t>
  </si>
  <si>
    <t>Повышение квалификации муниципальных служащих с получением соответствующих документов</t>
  </si>
  <si>
    <t>Санитарное содержание сложившихся мест активного отдыха граждан, расположенных в водоохраной зоне водных объектов (оз.Светлое, оз.Школьное, оз.Нешинелор, оз.Выргимский сор, р.Казым)</t>
  </si>
  <si>
    <t>Подпрограмма I  «Повышение качества культурных услуг, предоставляемых в области библиотечного, выставочного дела»</t>
  </si>
  <si>
    <t>Журнал учета посетителей</t>
  </si>
  <si>
    <t>Журнал регистрации выставочных проектов</t>
  </si>
  <si>
    <t>Статистические данные</t>
  </si>
  <si>
    <t>Учетные карты учреждений культуры, статданные</t>
  </si>
  <si>
    <t>Данные из муниципального задания</t>
  </si>
  <si>
    <t>Мониторинг качества услуг</t>
  </si>
  <si>
    <t>Согласно отчету о заработной плате в Департамент культуры ХМАО-Югры</t>
  </si>
  <si>
    <t>Мониторинг посещения лиц с ограниченными возможностями</t>
  </si>
  <si>
    <t>Управление и распоряжение муниципальным имуществом</t>
  </si>
  <si>
    <t>Содержание вертолетных площадок</t>
  </si>
  <si>
    <t>Подпрограмма 3 «Повышение безопасности дорожного движения  в Белоярском районе»</t>
  </si>
  <si>
    <t>Содержание автомобильных дорог</t>
  </si>
  <si>
    <t>Статистические данные Комитета по социальной политике администрации Белоярского района</t>
  </si>
  <si>
    <t>Отчетные данные социально ориентированных некоммерческих организаций, получивших финансовую поддержку</t>
  </si>
  <si>
    <t>Отдел сбора и обработки статинформации Ханты-Мансийскстата в г.Белоярский
Главы крестьянских (фермерских) хозяйств</t>
  </si>
  <si>
    <t>Управление жилищно-коммунального хозяйства администрации Белоярского района</t>
  </si>
  <si>
    <t>Управление по сельскому хозяйству, природопользованию и вопросам малочисленных народов Севера администрации Белоярского района</t>
  </si>
  <si>
    <t>Организация и проведение мероприятий, посвященных памятной дате – «День солидарности в борьбе с терроризмом»</t>
  </si>
  <si>
    <t>Выплата пенсии за выслугу лет лицам, замещавшим муниципальные должности и должности муниципальной службы</t>
  </si>
  <si>
    <t>Организация социально значимых мероприятий для отдельных категорий граждан</t>
  </si>
  <si>
    <t xml:space="preserve">Организация отдыха и оздоровления отдельных категорий граждан </t>
  </si>
  <si>
    <t>Организация посещения плавательного бассейна инвалидами и другими маломобильными группами населения</t>
  </si>
  <si>
    <t>МАУ "Дворец спорта"</t>
  </si>
  <si>
    <t>МБУДО ДЮСШ г.Белоярский</t>
  </si>
  <si>
    <t>Доля населения, систематически занимающегося физической культурой и спортом, в общей численности населения, %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</si>
  <si>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</si>
  <si>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граждан Белоярского района, занимающихся физической культурой и спортом по месту работы, в общей численности населения, занятого в экономике</t>
  </si>
  <si>
    <t>Доля учащихся и студентов, систематически занимающихся физической культурой и спортом, в общей численности учащихся и студентов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</si>
  <si>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</si>
  <si>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 xml:space="preserve">Доля граждан Белоярского района,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 (ГТО), </t>
  </si>
  <si>
    <t>из них учащихся и студентов</t>
  </si>
  <si>
    <t xml:space="preserve">     %</t>
  </si>
  <si>
    <t xml:space="preserve">Комитет по финансам и налоговой политике </t>
  </si>
  <si>
    <t>Проведение конкурса "Лучший мун.служащий ОМС"</t>
  </si>
  <si>
    <t>Отдел по учету и контролю за расходованием финансовых средств администрации Белоярского района</t>
  </si>
  <si>
    <t>Форма 85-К ИАС "АВЕРС: контингент ДОУ"</t>
  </si>
  <si>
    <t>Управление по транспорту и связи администрации Белоярского района</t>
  </si>
  <si>
    <t>Доля населения Белоярского района, попадающего в зону действия муниципальной автоматизированной системы оповещения населения Белоярского района об опасностях, возникающих при ведении военных действий или вследствие этих действий, а также об угрозе возникновения или о возникно-вении чрезвычайных ситуаций природ-ного и техногенного характера, в про-центах от общей численности населе-ния Белоярского района</t>
  </si>
  <si>
    <t>Оснащение общественных спасательных постов в местах массового отдыха людей на водных объектах оборудованием и снаряжением</t>
  </si>
  <si>
    <t>Отдел по делам ГОиЧС администрации Белоярского района</t>
  </si>
  <si>
    <t>Созданние резервов материальных ресурсов для ликвидации последствий чрезвычайных ситуаций и в целях гражданской обороны, в процентах от установленных норм обеспечения</t>
  </si>
  <si>
    <t>Осуществление реагирования на возможные чрезвычайные ситуации в соответствии с Уставом муниципального казенного учреждения «Единая дежурно-диспетчерская служба Белоярского района, в баллах не ниже</t>
  </si>
  <si>
    <t>Данные предоставлены ФКУ "ЦУКС по ХМАО-Югре""</t>
  </si>
  <si>
    <t>Внедрение и запуск в эксплуатацию технических систем, входящих в состав аппаратно-программного комплекса «Безопасный город» на территории Белоярского района, в процентах от установленного проектом по построению и развитию аппаратно-программного комплекса «Безопасный город» на территории Белоярского района</t>
  </si>
  <si>
    <t>Количество пожарных водоемов находящихся в муниципальной собственности, единиц</t>
  </si>
  <si>
    <t>Комитет муниципальной собственности администрации Белоярского района</t>
  </si>
  <si>
    <t>Модернизация муниципальных музеев</t>
  </si>
  <si>
    <t>Конкурс творчества юных живописцев "Мастерская солнца"</t>
  </si>
  <si>
    <t>Организация и проведение мероприятий, направленных на раскрытие многообразия национальных культур</t>
  </si>
  <si>
    <t xml:space="preserve">Обеспечение функционирования и развития  систем  видеонаблюдения, в том числе с целью повышения безопасности дорожного движения, информирования населения </t>
  </si>
  <si>
    <t>Обеспечение функционирования  системы   видеонаблюдения, установленной в месте массового пребывания людей  - администрации Белоярского района</t>
  </si>
  <si>
    <t>Организация деятельности по сбору (в том числе раздельному сбору) твердых коммунальных отходов, организация деятельности по транспортированию твердых коммунальных отходов</t>
  </si>
  <si>
    <t>Плата за пользование водным объектом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</si>
  <si>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Ведение регулярного наблюдения за состоянием водного объекта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</si>
  <si>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Проведение мероприятий в Белоярском районе, приуроченных к Международной экологической акции «Спасти и сохранить» и Году экологии</t>
  </si>
  <si>
    <t>Проведение в образовательных учреждениях мероприятий, приуроченных к Международной экологической акции «Спасти и сохранить»</t>
  </si>
  <si>
    <t>Проведение в  учреждениях культуры мероприятий, приуроченных к Международной экологической акции «Спасти и сохранить»</t>
  </si>
  <si>
    <t>Доля площади земельных участков, занятых городскими лесами города Белоярский, поставленных на кадастровый учет</t>
  </si>
  <si>
    <t>Застройка микрорайона Озерный-2 г.Белоярский. Автомобильная дорога. 1 этап.</t>
  </si>
  <si>
    <t>Данные ресурсоснабжающей организации (АО "ЮКЭК-Белоярский")</t>
  </si>
  <si>
    <t>Данные организации, осуществляющей водоснабжение (АО "ЮКЭК-Белоярский")</t>
  </si>
  <si>
    <t>Данные АО "ЮКЭК-Белоярский"</t>
  </si>
  <si>
    <t>Подпрограмма 5 «Обеспечение  благоустройства  территории городского поселения Белоярский»</t>
  </si>
  <si>
    <t>Подпрограмма 5 «Обеспечение благоустройства территории городского поселения Белоярский»</t>
  </si>
  <si>
    <t>Начальник управления экономики, реформ и программ администрации Белоярского района        ___________________________     Бурматова Л.М.</t>
  </si>
  <si>
    <t>Управление капитального строительства администрации Белоярского района</t>
  </si>
  <si>
    <t>Повышение уровня благоустройства территории гороского поселения Белоярский по отношению к предыдущему году</t>
  </si>
  <si>
    <t>Доля объектов социальной инфраструктуры, находящихся в муниципальной собственности, обеспеченных условиями доступности для инвалидов и других маломабильных групп населения</t>
  </si>
  <si>
    <t>Статистические данные Комитета муниципальной собственности администрации Белоярского района</t>
  </si>
  <si>
    <t>Комитет по делам молодежи, физической культуре и спорту администрации Белоярского района</t>
  </si>
  <si>
    <t>Объездная автомобильная дорога 6 мкр., 1 этап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</si>
  <si>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 (бюджет автономного округа)</t>
  </si>
  <si>
    <t>Предоставление выплат и компенсаций отдельным категориям граждан</t>
  </si>
  <si>
    <t>Доля средств бюджета Белоярского района, выделяемых немуниципальным организациям, в т.ч. СОНКО, на предоставление услуг, в общем объеме средств бюджета Белоярского района на предоставление услуг в сфере ФКиС</t>
  </si>
  <si>
    <t>посещ./ чел.</t>
  </si>
  <si>
    <t xml:space="preserve">Количество посещений библиотек (на 1 жителя в год) </t>
  </si>
  <si>
    <t>Увеличение доли музейных предметов и музейных коллекций, отраженных в электронных каталогах, в общем объеме музейных фондов и музейных колллекций</t>
  </si>
  <si>
    <t>Количество посещений культурно-досуговых, концертных программ, народных гуляний и иных массовых мероприятий   (увеличение по сравнению с предыдущим годом)</t>
  </si>
  <si>
    <t>Приобретение и установка технических средств для обеспечения безопасности в местах с массовым пребыванием людей</t>
  </si>
  <si>
    <t>Электронная система управления очередью "Энтер", АИС МФЦ</t>
  </si>
  <si>
    <t>По заключенным соглашениям между МФЦ и УМФЦ, и МФЦ и ОМСУ</t>
  </si>
  <si>
    <t>Подпрограмма 3 «Повышение эффективности бюджетных расходов»</t>
  </si>
  <si>
    <t>9.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</si>
  <si>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</si>
  <si>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</si>
  <si>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</si>
  <si>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</si>
  <si>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</si>
  <si>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</si>
  <si>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</si>
  <si>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</si>
  <si>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</si>
  <si>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место в рейтинге</t>
  </si>
  <si>
    <t xml:space="preserve">Исп. </t>
  </si>
  <si>
    <t>2.1.</t>
  </si>
  <si>
    <t>2.2.</t>
  </si>
  <si>
    <t>2.3.</t>
  </si>
  <si>
    <t>3.1.</t>
  </si>
  <si>
    <t>3.2.</t>
  </si>
  <si>
    <t>3.3.</t>
  </si>
  <si>
    <t>3.4.</t>
  </si>
  <si>
    <t>3.5.</t>
  </si>
  <si>
    <t>2.4.</t>
  </si>
  <si>
    <t>2.5.</t>
  </si>
  <si>
    <t>Доля прибыльных сельскохозяйственных предприятий в общем их числе</t>
  </si>
  <si>
    <t>Приобретение жилья</t>
  </si>
  <si>
    <t>Обеспечение деятельности ДДЮТ</t>
  </si>
  <si>
    <t>Развитие управленческих и организационно-экономических механизмов, обновление содержания дополнительного образования</t>
  </si>
  <si>
    <t>Детский сад мкрн. 3А г.Белоярский</t>
  </si>
  <si>
    <t>Комитет по образованию администрации Белоярского района</t>
  </si>
  <si>
    <t>4.1.</t>
  </si>
  <si>
    <t>Отдел сбора и обработки статинформации Ханты-Мансийскстата в г.Белоярский; Предприятия, ведущие заготовку дикоросов</t>
  </si>
  <si>
    <t>Сельскохозяйственные предприятия</t>
  </si>
  <si>
    <t>4.2.</t>
  </si>
  <si>
    <t>5.1.</t>
  </si>
  <si>
    <t>5.2.</t>
  </si>
  <si>
    <t>5.3.</t>
  </si>
  <si>
    <t>5.4.</t>
  </si>
  <si>
    <t>5.5.</t>
  </si>
  <si>
    <t>5.6.</t>
  </si>
  <si>
    <t>5.7.</t>
  </si>
  <si>
    <t>6.1.</t>
  </si>
  <si>
    <t>Количество участников мероприятия, направленного на повышение престижа и открытости муниципальной службы органов местного самоуправления Белоярского района, чел.</t>
  </si>
  <si>
    <t xml:space="preserve">Обеспечение деятельности муниципального автономного учреждения физической культуры и спорта Белоярского района  «База спорта и отдыха «Северянка»  </t>
  </si>
  <si>
    <t>Обеспечение деятельности МАУ "Дворец спорта" , в том числе, объем средств бюджетных ассигнований, возможных к передаче немуниципальным организациям, включая социально ориентированные некоммерческие организации, на предоставление услуг (работ) в сфере физической культуры и спорта.</t>
  </si>
  <si>
    <t>Моргунова Е.В. Тел. (34670) 2-06-10</t>
  </si>
  <si>
    <t>Доля средств бюджета Белоярского района, выделяемых немуниципальным  организациям (коммерческим, некоммерческим), в том числе социально ориентированным некоммерческим организациям, на предоставление услуг (работ), в общем объеме средств бюджета Белоярского района, выделяемых на предоставление услуг в сфере культуры, (%)</t>
  </si>
  <si>
    <t xml:space="preserve">Доля немуниципальных организаций (коммерческих, некоммерческих), в том числе социально-ориентированных некоммерческих организаций, представляющих услуги в сфере культуры, в общем числе организаций, предоставляющих услуги в сфере культуры, (%) </t>
  </si>
  <si>
    <t xml:space="preserve">Доля граждан, получивших услуги в немуниципальных организациях (коммерческих, некоммерческих), в том числе социально ориентированных некоммерческих организаций, в общем числе граждан, получивших услуги в сфере культуры, (%), </t>
  </si>
  <si>
    <t>Комитет по культуре администрации Белоярского района</t>
  </si>
  <si>
    <t>Доля средств бюджета Белоярского района, выделяемых немуниципальным  организациям (коммерческим, некоммерческим), в том числе социально ориентированным некоммерческим организациям (далее – НКО), на предоставление услуг (работ), в общем объеме средств бюджета Белоярского района, выделяемых на предоставление услуг в сфере образования, %</t>
  </si>
  <si>
    <t>Доля НКО, предоставляющих услуги в сфере образования, в общем числе организаций, предоставляющих услуги в сфере образования, %</t>
  </si>
  <si>
    <t>Доля граждан, получивших услуги в НКО, в общем числе граждан, получивших услуги в сфере образования, %</t>
  </si>
  <si>
    <t>1.10.</t>
  </si>
  <si>
    <t>1.11.</t>
  </si>
  <si>
    <t>о ходе реализации муниципальных программ Белоярского района за 2018 год</t>
  </si>
  <si>
    <t>Объемы бюджетных ассигнований на реализацию муниципальных программ в соответствии со сводной бюджетной росписью за 2018 год, тыс. рублей</t>
  </si>
  <si>
    <t>Фактические объемы бюджетных ассигнований на реализацию муниципальной программы за 2018 год, тыс. рублей</t>
  </si>
  <si>
    <t>Предоставление субсидии субъектам малого и среднего предпринимательства, осуществляющим регулярные автомобильные перевозки</t>
  </si>
  <si>
    <t>Создание условий для развития субъектов малого и среднего предпринимательства, осуществляющих деятельность в сфере внутреннего водного пассажирского транспорта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</si>
  <si>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</si>
  <si>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 Содействие в проведении мероприятий, направленных на сохранение культурного наследия коренных малочисленных народов»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</si>
  <si>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"Обеспечение жителей труднодоступных и отдаленных населенных пунктов Белоярского района продовольственными и непродовольственными товарами "</t>
    </r>
  </si>
  <si>
    <t xml:space="preserve">Приобретение пожарно-технического инвентаря </t>
  </si>
  <si>
    <t>Разработка информационного материала для противопожар-ной пропаганды и обучения населения г.Белоярский мерам пожарной безопасности</t>
  </si>
  <si>
    <r>
      <t xml:space="preserve">Основное мероприятие </t>
    </r>
    <r>
      <rPr>
        <sz val="10.5"/>
        <rFont val="Times New Roman"/>
        <family val="1"/>
        <charset val="204"/>
      </rPr>
      <t>«Мероприятия по обеспечению первичных мер пожарной безопасности в городском поселении Белоярский»</t>
    </r>
  </si>
  <si>
    <r>
      <t xml:space="preserve">Основное мероприятие </t>
    </r>
    <r>
      <rPr>
        <sz val="10.5"/>
        <rFont val="Times New Roman"/>
        <family val="1"/>
        <charset val="204"/>
      </rPr>
      <t>«Проектирование и строительство отдельных постов пожарной охраны и пожарных водоемов 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</si>
  <si>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«Противопожарная пропаганда и обучение населения городского поселения Белоярский мерам пожарной безопасности»</t>
    </r>
  </si>
  <si>
    <r>
      <t>Основное мероприятие</t>
    </r>
    <r>
      <rPr>
        <sz val="10.5"/>
        <rFont val="Times New Roman"/>
        <family val="1"/>
        <charset val="204"/>
      </rPr>
      <t xml:space="preserve"> «Пополнение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обороны»</t>
    </r>
  </si>
  <si>
    <r>
      <t xml:space="preserve">Основное мероприятие </t>
    </r>
    <r>
      <rPr>
        <sz val="10.5"/>
        <rFont val="Times New Roman"/>
        <family val="1"/>
        <charset val="204"/>
      </rPr>
      <t>«Мероприятия по гражданской обороне и защите населения Белоярского района от чрезвычайных ситуаций природного и техногенного характера»</t>
    </r>
  </si>
  <si>
    <r>
      <t>Основное мероприятие</t>
    </r>
    <r>
      <rPr>
        <sz val="10.5"/>
        <rFont val="Times New Roman"/>
        <family val="1"/>
        <charset val="204"/>
      </rPr>
      <t xml:space="preserve"> «Обеспечение безопасности людей на водных объекта»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</si>
  <si>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"Создание муниципальной системы оповещения населения о чрезвычайных ситуациях"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</si>
  <si>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«Создание условий для функционирования единой государственной системы предупреждения и ликвидации чрезвычайных ситуаций»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</si>
  <si>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«Построение и развитие аппаратно-программного комплекса «Безопасный город»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</si>
  <si>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осуществления мероприятий по проведению дезинсекции и дератизации»</t>
    </r>
  </si>
  <si>
    <t>Количество населенных пунктов, расположенных в границах Белоярского района, в которых проводятся противоэпидемиологические мероприятия по снижению численности кровососущих комаров и барьерной дератизации, единиц</t>
  </si>
  <si>
    <t>2.6.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</si>
  <si>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животноводства»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</si>
  <si>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растениеводства»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</si>
  <si>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развития рыбохозяйственного комплекса» </t>
    </r>
  </si>
  <si>
    <r>
      <rPr>
        <u/>
        <sz val="10.5"/>
        <rFont val="Times New Roman"/>
        <family val="1"/>
        <charset val="204"/>
      </rPr>
      <t>Основное мероприяти</t>
    </r>
    <r>
      <rPr>
        <sz val="10.5"/>
        <rFont val="Times New Roman"/>
        <family val="1"/>
        <charset val="204"/>
      </rPr>
      <t>е «Обеспечение стабильной благополучной эпизоотической обстановки в Белоярском районе и защита населения от болезней, общих для человека и животных»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</si>
  <si>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заготовки и переработки дикоросов»</t>
    </r>
  </si>
  <si>
    <t>Приобретение кормов для содержания сельскохозяйственных животных</t>
  </si>
  <si>
    <t>Освоение выпуска новых видов продукции, сертификации выпускаемой продукции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</si>
  <si>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 сельскохозяйственной продукции»: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</si>
  <si>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«Поддержка малых хозяйствования на развитие материально-технической базы»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</si>
  <si>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«Снижение негативного воздействия на окружающую среду отходов производства и потребления»</t>
    </r>
  </si>
  <si>
    <t>Ликвидация несанкционированных мест размещения отходов (свалок)</t>
  </si>
  <si>
    <t>Организация использования, охраны, защиты, воспроизводства городских лесов города Белоярский, уход за зелеными насаждениями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</si>
  <si>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«Сохранение природной среды, предотвращение и ликвидация последствий негативного воздействия»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</si>
  <si>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«Совершенствование системы управления муниципальным имуществом»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</si>
  <si>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«Управление и распоряжение земельными участками, находящимися в муниципальной собственности»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</si>
  <si>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функций управления муниципальным имуществом»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</si>
  <si>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«Развитие библиотечного дела»</t>
    </r>
  </si>
  <si>
    <t>1.2.1.</t>
  </si>
  <si>
    <t>в том числе комплектование библиотечных фондов</t>
  </si>
  <si>
    <t xml:space="preserve">Реализация мероприятий </t>
  </si>
  <si>
    <t>1.3.1.</t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</si>
  <si>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«Развитие выставочного дела»</t>
    </r>
  </si>
  <si>
    <t>2.2.1.</t>
  </si>
  <si>
    <t>2.2.2.</t>
  </si>
  <si>
    <t>2.2.3.</t>
  </si>
  <si>
    <t>2.2.4.</t>
  </si>
  <si>
    <t>2.2.5.</t>
  </si>
  <si>
    <t>2.2.6.</t>
  </si>
  <si>
    <t>Повышение квалификации работников</t>
  </si>
  <si>
    <t>2.2.8.</t>
  </si>
  <si>
    <t>2.2.15.</t>
  </si>
  <si>
    <t>Установка системы видеонаблюдения в Этнографическом выставочном зале с. Казым</t>
  </si>
  <si>
    <t>2.2.16.</t>
  </si>
  <si>
    <t>Приобретение холодильного и компьютерного оборудования для Этнографического выставочного зала с. Казым</t>
  </si>
  <si>
    <t>2.2.17.</t>
  </si>
  <si>
    <t>Приобретение костюмов для народного самодеятельного коллектива «Увас хурамат»</t>
  </si>
  <si>
    <t>2.2.18.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</si>
  <si>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дополнительного образования в области культуры»</t>
    </r>
  </si>
  <si>
    <t>Проведение конкурса пианистов "Волшебные клавиши"</t>
  </si>
  <si>
    <t>1.2.2.</t>
  </si>
  <si>
    <t>1.2.3.</t>
  </si>
  <si>
    <t>1.2.4.</t>
  </si>
  <si>
    <t>Стимулирование лучших учреждений,руководителей,педагогов</t>
  </si>
  <si>
    <t>1.2.5.</t>
  </si>
  <si>
    <t>Проведение электротехнических измерений сопротивления изоляции электрических сетей</t>
  </si>
  <si>
    <t>1.3.2.</t>
  </si>
  <si>
    <t>1.3.3.</t>
  </si>
  <si>
    <t>1.3.4.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</si>
  <si>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культурного разнообразия»</t>
    </r>
  </si>
  <si>
    <t>Обеспечение деятельности  учреждений (Камертон) в том числе, объем средств бюджетных ассигнований, возможных к передаче немуниципальным организациям, включая социально ориентированные некоммерческие организации, на предоставление услуг (работ) в сфере культуры</t>
  </si>
  <si>
    <t>2.2.9.</t>
  </si>
  <si>
    <t xml:space="preserve">Организация и проведение мероприятий в рамках празднования государственных праздников Дня России и Дня флага Российской Федерации </t>
  </si>
  <si>
    <t>2.2.10.</t>
  </si>
  <si>
    <t>Организация и проведение концертного тура солистов Академии молодых оперных певцов Мариинского театра</t>
  </si>
  <si>
    <t>2.2.11.</t>
  </si>
  <si>
    <t>Проведение мероприятий, направленных на сохранение культуры коренных народов Севера</t>
  </si>
  <si>
    <t>2.2.12.</t>
  </si>
  <si>
    <t>Организация и проведение гастрольного тура артистов УФО для ЦКиД, КЗ "Камертон"</t>
  </si>
  <si>
    <t>2.2.13.</t>
  </si>
  <si>
    <t>Организация и проведение мероприятий в рамках Года добровольца (волонтера) в России и Года гражданского согласия в автономном округе</t>
  </si>
  <si>
    <t>2.2.14.</t>
  </si>
  <si>
    <t>Приобретение тканей, аксессуаров, фурнитуры для пошива сценических костюмов</t>
  </si>
  <si>
    <t>Организация и проведение мерпориятий в рамках Года  добровольца и новогоднего утренника для МАУК Белоярского района "Центр культуры и досуга, конценртный зал "Камертон"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</si>
  <si>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«Поддержка средств массовой информации»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</si>
  <si>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исполнения мероприятий муниципальной программы»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</si>
  <si>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«Строительство объектов культуры»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</si>
  <si>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«Укрепление материально-технической базы учреждений культуры»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</si>
  <si>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благоприятных условий  для жизнедеятельности»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</si>
  <si>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«Создание условий для удовлетворения потребности населения Белоярского района в оказании услуг в сфере физической культуры и спорта»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</si>
  <si>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«Дополнительное образование детей в сфере физической культуры и спорта» (ДЮСШ)</t>
    </r>
  </si>
  <si>
    <r>
      <rPr>
        <u/>
        <sz val="10.5"/>
        <rFont val="Times New Roman"/>
        <family val="1"/>
        <charset val="204"/>
      </rPr>
      <t xml:space="preserve">Основное мероприятие: </t>
    </r>
    <r>
      <rPr>
        <sz val="10.5"/>
        <rFont val="Times New Roman"/>
        <family val="1"/>
        <charset val="204"/>
      </rPr>
      <t>Развитие материально - технической базы учреждений физической культуры и спорта (ДЮСШ) (МАУ "Дворец спорта")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</si>
  <si>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реализации мероприятий по работе с детьми и молодежью»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</si>
  <si>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«Содействие занятости молодежи»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</si>
  <si>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отдыха и оздоровления детей в оздоровительных учреждениях различных типов»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</si>
  <si>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организации отдыха и оздоровления детей»      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</si>
  <si>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функций управления в сфере физической культуры, спорта и молодежной политики»</t>
    </r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</si>
  <si>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</si>
  <si>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Обеспечение дополнительных гарантий прав на имущество и жилые помещения для детей-сирот и детей, оставшихся без попечения родителей, лиц из числа детей-сирот и детей, оставшихся без попечения родителей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</si>
  <si>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функций управления муниципальными финансами»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</si>
  <si>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«Управление резервными средствами  бюджета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</si>
  <si>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«Актуализация Стратегии социально-экономического развития Белоярского района до 2020 года и на период до 2030 года»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</si>
  <si>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«Обслуживание муниципального долга Белоярского района»</t>
    </r>
  </si>
  <si>
    <t xml:space="preserve">«Управление муниципальными финансами в Белоярском районе на 2014-2020 годы»
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</si>
  <si>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«Выравнивание бюджетной обеспеченности поселений в границах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</si>
  <si>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сбалансированности бюджетов поселений в границах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</si>
  <si>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«Финансовое обеспечение осуществления органами местного самоуправления поселений, полномочий  переданных органами местного самоуправления  Белоярского района на основании  соглашений»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</si>
  <si>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иных межбюджетных трансфертов в иных случаях, предусмотренных законами Ханты-Мансийского автономного округа - Югры и муниципальными правовыми актами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</si>
  <si>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" Предоставление субвенций на осуществление отдельных государственных полномочий"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</si>
  <si>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"Благоустройство дворовых территорий поселений Белоярского района"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</si>
  <si>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"Благоустройство общественных территорий городского и сельских поселений  Белоярского района"</t>
    </r>
  </si>
  <si>
    <t>«Формирование современной городской среды на 2018 – 2022 годы»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</si>
  <si>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предоставления государственных  и муниципальных услуг»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</si>
  <si>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</si>
  <si>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t>Объем средств бюджетных ассигнований, возможных к передаче немуниципальным организациям, включая социально ориентированные некоммерческие организации, на предоставление услуг (работ) в сфере образования **</t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</si>
  <si>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«Развитие системы дополнительного образования детей»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</si>
  <si>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муниципальной системы оценки качества образования»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</si>
  <si>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 xml:space="preserve">«Обеспечение функций управления в сфере образования» </t>
    </r>
  </si>
  <si>
    <t>Укрепление пожарной безопасности</t>
  </si>
  <si>
    <t>Укрепление санитарно-эпидемиологической безопасности</t>
  </si>
  <si>
    <t>Укрепление антитеррористической безопасности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</si>
  <si>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комплексной безопасности образовательных учреждений и комфортных условий образовательного процесса»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</si>
  <si>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материально-технической базы сферы образования» 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</si>
  <si>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 xml:space="preserve">«Создание благоприятных условий  для жизнедеятельности»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</si>
  <si>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общего образования»</t>
    </r>
  </si>
  <si>
    <t xml:space="preserve">Мониторинг реализации федерального государственного образовательного стандарта </t>
  </si>
  <si>
    <t>Форма федеральной статистической отчетности 1-ДОП,1-ДО</t>
  </si>
  <si>
    <t>Отчеты учреждений. Статистические данные по итогам организации отдыха за 2018 год</t>
  </si>
  <si>
    <t>Итоги государственной итоговой аттестации 2018 года</t>
  </si>
  <si>
    <t xml:space="preserve">Согласно отчетам по итогам школьного этапа Всероссийской олимпиады школьников в 2017-2018 учебном году </t>
  </si>
  <si>
    <t>Проектная мощность образовательных учреждений, реализующих программу дошкольного образования (количество мест)</t>
  </si>
  <si>
    <t>Доля детей, обучающихся (воспитывающихся) в образовательных учреждениях, отвечающим современным требованиям к условиям осуществления образовательного процесса</t>
  </si>
  <si>
    <t xml:space="preserve">Обеспечение выполнения полномочий и функций Комитета по образованию администрации Белоярского района </t>
  </si>
  <si>
    <t>Доля обучающихся в муниципальных общеобразовательных учреждениях Белоярского района, занимающихся в первую смену, в общей численности обучающихся в муниципальных общеобразовательных учреждениях Белоярского района</t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</si>
  <si>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«Социальная поддержка отдельных категорий граждан»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</si>
  <si>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«Финансовая поддержка социально ориентированным некоммерческим организациям на реализацию социально значимых проектов»</t>
    </r>
  </si>
  <si>
    <t>Осуществление деятельности по опеке и попечительству</t>
  </si>
  <si>
    <t>Осуществление отдельных государственных полномочий по созданию и осуществлению деятельности территориальных комиссий по делам несовершеннолетних и защите их прав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</si>
  <si>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</si>
  <si>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Осуществление отдельных государственных полномочий по ведению учета  категорий граждан, определенных федеральным законодательством</t>
  </si>
  <si>
    <t>Осуществление отдельных государственных полномочий по осуществлению контроля за использованием и распоряжением жилыми помещениями отдельных категорий граждан</t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</si>
  <si>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«Обеспечение функций управления в социальной сфере»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</si>
  <si>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"Осуществление отдельных государственных полномочий"</t>
    </r>
  </si>
  <si>
    <t>Обеспечение выполнения переданных отдельных государственных полномочий   в сфере опеки и попечительства,%</t>
  </si>
  <si>
    <t>Обеспечение выполнения переданных отдельных государственных полномочий   по образованию и организации деятельности комиссии по делам несовершеннолетних и защите их прав, %</t>
  </si>
  <si>
    <t>Обеспечение выполнения переданных отдельных государственных полномочий   в сфере  трудовых отношений и государственного управления охраной труда, %</t>
  </si>
  <si>
    <t>Обеспечение выполнения переданных отдельных государственных полномочий   по ведению учета категорий граждан, определенных федеральным законодательством</t>
  </si>
  <si>
    <t>Отдел опеки и попечительства администрации Белоярского района</t>
  </si>
  <si>
    <t>Отдел организации деятельности комиссии по делам несовершеннолетних и зашите их прав администрации Белоярского района</t>
  </si>
  <si>
    <t>3.6.</t>
  </si>
  <si>
    <t>Количество жилых помещений предоставленных детям-сиротам и детям, оставшимся без попечения родителей, с учетом использования  средств бюджета Ханты-Мансийского автономного округа – Югры в форме субвенций, единиц</t>
  </si>
  <si>
    <t>Обустройство объектов социальной инфраструктуры, находящихся в муниципальной собственности</t>
  </si>
  <si>
    <t>Списочный состав, журналы самозаписи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</si>
  <si>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выполнения полномочий  органов местного самоуправления»</t>
    </r>
  </si>
  <si>
    <t>Осуществление отдельных государственных полномочий в сфере государственной регистрации актов гражданского состояния</t>
  </si>
  <si>
    <t>Осуществление отдельных государственных полномочий в сфере архивного отдела</t>
  </si>
  <si>
    <t>Осуществление отдельных государственных полномочий по составлению (изменению) списков кандидатов в присяжные заседатели федеральных судов общей юрисдикции в РФ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</si>
  <si>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развития и совершенствования муниципальной службы»</t>
    </r>
  </si>
  <si>
    <t>Обеспечение выполнения переданных отдельных государственных полномочий   в сфере государственной регистрации актов гражданского состояния</t>
  </si>
  <si>
    <t>Обеспечение выполнения переданных отдельных государственных полномочий   в сфере архивного дела</t>
  </si>
  <si>
    <t>Обеспечение выполнения переданных отдельных государственных полномочий   по составлению (изменению) списков кандидатов в присяжные заседатели</t>
  </si>
  <si>
    <t>Управление делами администрации Белоярского района</t>
  </si>
  <si>
    <t>Обеспечение стабильной благополучной эпизоотической обстановки в Белоярском районе, включая отлов, утилизацию безнадзорных бродячих животных не менее 220 голов в год</t>
  </si>
  <si>
    <t>Нижнеобское территориальное управление Федерального агентства по рыболовству</t>
  </si>
  <si>
    <t>Объем ввода жилья в год</t>
  </si>
  <si>
    <t>Количество молодых семей, улучшивших жилищные условия в соответствии с муниципальной программой, семья</t>
  </si>
  <si>
    <t>Количество жилых помещений предоставленных детям-сиротам и детям, оставшимся без попечения родителей, с учетом использования собственных средств бюджета Белоярского района, единиц</t>
  </si>
  <si>
    <t>Предоставление субсидии некоммерческим организациям, не являющимся государственными (муниципальными) учреждениями, в целях финансового обеспечения затрат в связи с организацией и проведением мероприятий по строительству подводящих инженерных сетей и благоустройству придомовой территории строящихся многоквартирных домов на территории Белоярского района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</si>
  <si>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</si>
  <si>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«Строительство и приобретение жилья» </t>
    </r>
  </si>
  <si>
    <t>Правила благоустройства территории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</si>
  <si>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градостроительной деятельности на территории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</si>
  <si>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«Улучшение жилищных условий молодых семей в соответствии с федеральной целевой программой «Жилище»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</si>
  <si>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«Выкуп жилых помещений в аварийном жилищном фонде»</t>
    </r>
  </si>
  <si>
    <t>Водоочистные сооружения в п. Сорум (ВОС)</t>
  </si>
  <si>
    <t>Ремонт наружного трубопровода горячего водоснабжения по ул.Барсукова г.Белоярский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</si>
  <si>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«Реконструкция, расширение, модернизация, строительство и капитальный ремонт объектов коммунального комплекса»</t>
    </r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</si>
  <si>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</si>
  <si>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</si>
  <si>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</si>
  <si>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«Компенсация транспортных расходов, предусмотренная в соответствии с государственной поддержкой досрочного завоза продукции (товаров)»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</si>
  <si>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«Содействие проведению капитального ремонта многоквартирных домов»</t>
    </r>
  </si>
  <si>
    <t>Озеленение</t>
  </si>
  <si>
    <t>Прочие мероприятия по благоустройству</t>
  </si>
  <si>
    <t>Содействие развитию исторических и иных местных традиций</t>
  </si>
  <si>
    <t>Благоустройство капитального характера: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</si>
  <si>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благоустройства и озеленения территории городского поселения Белоярский»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</si>
  <si>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«Техническая эксплуатация, содержание, ремонт и организация энергоснабжения сети уличного освещения на территории городского поселения Белоярский»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</si>
  <si>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«Содержание и благоустройство межпоселенческих мест захоронений на территории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</si>
  <si>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мероприятий по энергосбережению и повышению энергетической эффективности»</t>
    </r>
  </si>
  <si>
    <t>Данные АО "Юграэнерго"</t>
  </si>
  <si>
    <t>Обеспечение компенсацией транспортных расходов, предусмотренной в соответствии с государственной поддержкой досрочного завоза продукции (товаров) от потребности</t>
  </si>
  <si>
    <t>Осуществление отдельного  государственного полномочия по созданию и обеспечению деятельности административных комиссий  на уровне (% от потребности)</t>
  </si>
  <si>
    <t>тыс.чел.</t>
  </si>
  <si>
    <t>Численность участников мероприятий, направленных на укрепление общероссийского гражданского единства</t>
  </si>
  <si>
    <t>Численность участников мероприятий, направленных на этнокультурное развитие народов России, проживающих в Белоярском районе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</si>
  <si>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«Совершенствование системы профилактики терроризма и экстремизма,  правонарушений в сфере общественного порядка и безопасности дорожного движения»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</si>
  <si>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«Осуществление отдельного государственного полномочия»</t>
    </r>
  </si>
  <si>
    <t xml:space="preserve">«Совершенствование межбюджетных отношений в Белоярском районе на 2014-2020 годы» </t>
  </si>
  <si>
    <t xml:space="preserve">«Управление муниципальными финансами в Белоярском районе на 2014-2020 годы» </t>
  </si>
  <si>
    <t>о достижении целевых показателей о реализации муниципальных программ Белоярского района за 2018 год</t>
  </si>
  <si>
    <t>Результаты сводного рейтинга поселений по качеству организации и осуществления бюджетного процесса за 2017 год</t>
  </si>
  <si>
    <t>21.</t>
  </si>
  <si>
    <t>«Формирование современной городской среды на 2018-2022 годы»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</si>
  <si>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«Строительство (реконструкция), капитальный ремонт и ремонт автомобильных дорог общего пользования местного значения»</t>
    </r>
  </si>
  <si>
    <t>Строительство автомобильного проезда в с. Казым Белоярского района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</si>
  <si>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предоставления транспортных услуг, организации транспортного обслуживания населения»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</si>
  <si>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обеспечения безопасности дорожного движения»</t>
    </r>
  </si>
  <si>
    <t>Ремонт технических средств организации дорожного движения</t>
  </si>
  <si>
    <t>Разработка комплексных схем организации дорожного движения в Белоярском районе</t>
  </si>
  <si>
    <t>Подпрограмма 1.«Развитие, совершенствование сети автомобильных дорог в Белоярском районе»</t>
  </si>
  <si>
    <t>Протяженность сети автомобильных дорог общего пользования  местного значения</t>
  </si>
  <si>
    <t>км</t>
  </si>
  <si>
    <t>Х</t>
  </si>
  <si>
    <t>Объемы ввода в эксплуатацию после строительства и реконструкции автомобильных дорог общего пользования местного значения</t>
  </si>
  <si>
    <t>Объемы ввода в эксплуатацию после строительства и реконструкции автомобильных дорог общего пользования  местного значения, исходя из расчетной протяженности введенных искусственных сооружений (мостов, мостов переходов, путепроводов, транспортных развязок)</t>
  </si>
  <si>
    <t>Прирост протяженности сети автомобильных дорог общего пользования местного значения  в результате строительства новых автомобильных дорог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</si>
  <si>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реконструкции автомобильных дорог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</si>
  <si>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</si>
  <si>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Общая протяженность автомобильных дорог общего пользования местного значения, соответствующих нормативным требованиям к транспортно-эксплуатационным показателям на 31 декабря отчетного года</t>
  </si>
  <si>
    <t>Доля автомобильных дорог общего пользования  местного значения, не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</t>
  </si>
  <si>
    <t>Количество отремонтированных ВПП</t>
  </si>
  <si>
    <t>Подпрограмма 3  «Повышение безопасности дорожного движения в Белоярском районе»</t>
  </si>
  <si>
    <t>Протяженность обслуживаемой УДС</t>
  </si>
  <si>
    <t>Количество  дорожных знаков на УДС</t>
  </si>
  <si>
    <t xml:space="preserve"> м2</t>
  </si>
  <si>
    <t>Увеличение доли благоустроенных дворовых территорий в городском и сельских поселениях Белоярского района, %</t>
  </si>
  <si>
    <t>Увеличение доли благоустроенных общественных территорий, %</t>
  </si>
  <si>
    <t xml:space="preserve">Доля финансового участия заинтересованных   лиц в выполнении минимального перечня работ по благоустройству дворовых территорий </t>
  </si>
  <si>
    <t xml:space="preserve">Доля финансового участия заинтересованных   лиц в выполнении дополнительного перечня работ по благоустройству дворовых территорий </t>
  </si>
  <si>
    <t>≤ 15%</t>
  </si>
  <si>
    <t>≤ 50%</t>
  </si>
  <si>
    <t>Количество получателей мер поддержки, установленных государственной программой Ханты-Мансийского автономного округа – Югры «Социально-экономическое развитие коренных малочисленных народов Севера Ханты-Мансийского автономного округа – Югры на 2018 - 2025 годы и на период до 2030 года»</t>
  </si>
  <si>
    <t>Наличие торговых мест в труднодоступных и отдаленных населенных пунктах Белоярского района (д.Нумто, д.Юильск), обеспечивающих жителей продовольственными и непродовольственными товарами</t>
  </si>
  <si>
    <t>Количество зарегистрированных пожаров на объектах муниципальной собственности Белоярского района, количество зарегистрированных пожаров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</si>
  <si>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«Содействие развитию малого и среднего предпринимательства в Белоярском районе»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</si>
  <si>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развития субъектов малого и среднего предпринимательства» 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</si>
  <si>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«Финансовая поддержка субъектов малого и среднего предпринимательства, осуществляющих 
социально значимые виды деятельности на территории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</si>
  <si>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«Финансовая поддержка социального предпринимательства»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</si>
  <si>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инновационного и молодежного предпринимательства»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</si>
  <si>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«Финансовая поддержка субъектов малого и среднего предпринимательства, зарегистрированных и осуществляющих деятельность в районах Крайнего Севера и приравненных к ним местностях с ограниченными сроками завоза грузов (продукции) на территории Белоярского района»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</si>
</sst>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_р_._-;_-@_-"/>
    <numFmt numFmtId="165" formatCode="0.0"/>
    <numFmt numFmtId="166" formatCode="0.0%"/>
    <numFmt numFmtId="167" formatCode="#,##0.0_р_.;\-#,##0.0_р_."/>
    <numFmt numFmtId="168" formatCode="_-* #,##0.0_р_._-;\-* #,##0.0_р_._-;_-* &quot;-&quot;_р_._-;_-@_-"/>
    <numFmt numFmtId="169" formatCode="0.000"/>
    <numFmt numFmtId="170" formatCode="#,##0.0_ ;\-#,##0.0\ "/>
    <numFmt numFmtId="171" formatCode="_-* #,##0.000_р_._-;\-* #,##0.000_р_._-;_-* &quot;-&quot;???_р_._-;_-@_-"/>
    <numFmt numFmtId="172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.5"/>
      <name val="Calibri"/>
      <family val="2"/>
      <charset val="204"/>
      <scheme val="minor"/>
    </font>
    <font>
      <b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.5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u/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theme="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7" fillId="0" borderId="0"/>
  </cellStyleXfs>
  <cellXfs count="250">
    <xf numFmtId="0" fontId="0" fillId="0" borderId="0" xfId="0"/>
    <xf numFmtId="0" fontId="9" fillId="7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66" fontId="3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" fontId="10" fillId="0" borderId="1" xfId="0" applyNumberFormat="1" applyFont="1" applyBorder="1" applyAlignment="1">
      <alignment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vertical="top" wrapText="1"/>
    </xf>
    <xf numFmtId="16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4" fillId="0" borderId="0" xfId="0" applyFont="1"/>
    <xf numFmtId="0" fontId="10" fillId="0" borderId="0" xfId="0" applyFont="1" applyAlignment="1">
      <alignment horizontal="right" vertical="center"/>
    </xf>
    <xf numFmtId="14" fontId="10" fillId="0" borderId="1" xfId="0" applyNumberFormat="1" applyFont="1" applyBorder="1" applyAlignment="1">
      <alignment vertical="top" wrapText="1"/>
    </xf>
    <xf numFmtId="16" fontId="10" fillId="0" borderId="1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left" vertical="center" wrapText="1" inden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9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 indent="1"/>
    </xf>
    <xf numFmtId="0" fontId="9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4" fillId="7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/>
    <xf numFmtId="16" fontId="3" fillId="0" borderId="1" xfId="0" applyNumberFormat="1" applyFont="1" applyBorder="1" applyAlignment="1">
      <alignment vertical="top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4"/>
    </xf>
    <xf numFmtId="0" fontId="3" fillId="8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wrapText="1"/>
    </xf>
    <xf numFmtId="49" fontId="9" fillId="0" borderId="5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16" fontId="18" fillId="0" borderId="1" xfId="0" applyNumberFormat="1" applyFont="1" applyBorder="1" applyAlignment="1">
      <alignment horizontal="center" vertical="top" wrapText="1"/>
    </xf>
    <xf numFmtId="16" fontId="18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shrinkToFit="1"/>
    </xf>
    <xf numFmtId="41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shrinkToFit="1"/>
    </xf>
    <xf numFmtId="165" fontId="3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9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6" fontId="3" fillId="0" borderId="1" xfId="3" applyNumberFormat="1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 indent="3"/>
    </xf>
    <xf numFmtId="16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 indent="3"/>
    </xf>
    <xf numFmtId="164" fontId="3" fillId="0" borderId="2" xfId="0" applyNumberFormat="1" applyFont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 indent="3"/>
    </xf>
    <xf numFmtId="172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9" fillId="6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2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vertical="center" wrapText="1"/>
    </xf>
    <xf numFmtId="164" fontId="9" fillId="6" borderId="1" xfId="0" applyNumberFormat="1" applyFont="1" applyFill="1" applyBorder="1" applyAlignment="1">
      <alignment vertical="center" wrapText="1"/>
    </xf>
    <xf numFmtId="164" fontId="9" fillId="5" borderId="5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6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3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16" fontId="3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3" fillId="6" borderId="1" xfId="0" applyFont="1" applyFill="1" applyBorder="1" applyAlignment="1">
      <alignment horizontal="left" vertical="center" wrapText="1" indent="1"/>
    </xf>
    <xf numFmtId="9" fontId="3" fillId="0" borderId="1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169" fontId="3" fillId="0" borderId="1" xfId="0" applyNumberFormat="1" applyFont="1" applyBorder="1" applyAlignment="1">
      <alignment horizontal="center" vertical="center" wrapText="1"/>
    </xf>
    <xf numFmtId="17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 indent="2"/>
    </xf>
    <xf numFmtId="0" fontId="19" fillId="0" borderId="2" xfId="0" applyFont="1" applyBorder="1" applyAlignment="1">
      <alignment horizontal="left" vertical="center" wrapText="1" indent="2"/>
    </xf>
    <xf numFmtId="0" fontId="19" fillId="0" borderId="2" xfId="0" applyFont="1" applyFill="1" applyBorder="1" applyAlignment="1">
      <alignment horizontal="left" vertical="center" wrapText="1" indent="2"/>
    </xf>
    <xf numFmtId="16" fontId="3" fillId="0" borderId="1" xfId="0" applyNumberFormat="1" applyFont="1" applyBorder="1" applyAlignment="1">
      <alignment horizontal="center" vertical="center"/>
    </xf>
    <xf numFmtId="0" fontId="21" fillId="0" borderId="0" xfId="0" applyFont="1"/>
    <xf numFmtId="0" fontId="8" fillId="6" borderId="0" xfId="0" applyFont="1" applyFill="1" applyAlignment="1">
      <alignment vertical="center"/>
    </xf>
    <xf numFmtId="0" fontId="8" fillId="6" borderId="0" xfId="0" applyFont="1" applyFill="1"/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/>
    </xf>
    <xf numFmtId="166" fontId="10" fillId="0" borderId="0" xfId="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wrapText="1" indent="2"/>
    </xf>
    <xf numFmtId="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 indent="1"/>
    </xf>
    <xf numFmtId="0" fontId="3" fillId="0" borderId="1" xfId="0" applyNumberFormat="1" applyFont="1" applyFill="1" applyBorder="1" applyAlignment="1" applyProtection="1">
      <alignment horizontal="left" vertical="center" wrapText="1" indent="2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top"/>
    </xf>
    <xf numFmtId="1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 indent="1"/>
    </xf>
    <xf numFmtId="16" fontId="10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7" fillId="6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7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9" fillId="7" borderId="6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Обычный 5" xfId="10"/>
    <cellStyle name="Процентный" xfId="3" builtinId="5"/>
    <cellStyle name="Финансов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AJ317"/>
  <sheetViews>
    <sheetView tabSelected="1" view="pageBreakPreview" zoomScale="70" zoomScaleNormal="10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19" sqref="N19"/>
    </sheetView>
  </sheetViews>
  <sheetFormatPr defaultRowHeight="13.5" outlineLevelRow="6" outlineLevelCol="1" x14ac:dyDescent="0.25"/>
  <cols>
    <col min="1" max="1" width="5.28515625" style="18" customWidth="1"/>
    <col min="2" max="2" width="54.5703125" style="19" customWidth="1"/>
    <col min="3" max="3" width="15.28515625" style="20" customWidth="1"/>
    <col min="4" max="4" width="17.140625" style="20" customWidth="1" outlineLevel="1"/>
    <col min="5" max="5" width="18.42578125" style="20" customWidth="1" outlineLevel="1"/>
    <col min="6" max="6" width="14.140625" style="20" customWidth="1" outlineLevel="1"/>
    <col min="7" max="7" width="13.140625" style="20" customWidth="1"/>
    <col min="8" max="8" width="15.5703125" style="20" customWidth="1"/>
    <col min="9" max="9" width="15.42578125" style="20" customWidth="1" outlineLevel="1"/>
    <col min="10" max="10" width="14.28515625" style="20" customWidth="1" outlineLevel="1"/>
    <col min="11" max="11" width="15.7109375" style="20" customWidth="1" outlineLevel="1"/>
    <col min="12" max="12" width="12.42578125" style="20" customWidth="1"/>
    <col min="13" max="13" width="13.5703125" style="18" customWidth="1" outlineLevel="1"/>
    <col min="14" max="14" width="14.140625" style="18" customWidth="1" outlineLevel="1"/>
    <col min="15" max="15" width="12.85546875" style="18" customWidth="1" outlineLevel="1"/>
    <col min="16" max="16" width="14.7109375" style="18" customWidth="1" outlineLevel="1"/>
    <col min="17" max="17" width="8.5703125" style="18" customWidth="1" outlineLevel="1"/>
    <col min="18" max="18" width="15.42578125" style="18" customWidth="1" outlineLevel="1"/>
    <col min="19" max="19" width="8.7109375" style="18" customWidth="1" outlineLevel="1"/>
    <col min="20" max="20" width="12.42578125" style="18" customWidth="1" outlineLevel="1"/>
    <col min="21" max="16384" width="9.140625" style="20"/>
  </cols>
  <sheetData>
    <row r="1" spans="1:20" s="17" customFormat="1" ht="18.75" x14ac:dyDescent="0.25">
      <c r="A1" s="215" t="s">
        <v>62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1:20" s="17" customFormat="1" ht="18.75" x14ac:dyDescent="0.25">
      <c r="A2" s="215" t="s">
        <v>466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</row>
    <row r="3" spans="1:20" x14ac:dyDescent="0.25">
      <c r="O3" s="21"/>
      <c r="P3" s="21"/>
      <c r="Q3" s="21"/>
      <c r="R3" s="21"/>
      <c r="S3" s="21"/>
      <c r="T3" s="21"/>
    </row>
    <row r="4" spans="1:20" ht="42.75" customHeight="1" x14ac:dyDescent="0.25">
      <c r="A4" s="216" t="s">
        <v>0</v>
      </c>
      <c r="B4" s="217" t="s">
        <v>15</v>
      </c>
      <c r="C4" s="216" t="s">
        <v>467</v>
      </c>
      <c r="D4" s="216"/>
      <c r="E4" s="216"/>
      <c r="F4" s="216"/>
      <c r="G4" s="216" t="s">
        <v>9</v>
      </c>
      <c r="H4" s="216" t="s">
        <v>468</v>
      </c>
      <c r="I4" s="216"/>
      <c r="J4" s="216"/>
      <c r="K4" s="216"/>
      <c r="L4" s="216" t="s">
        <v>9</v>
      </c>
      <c r="M4" s="220" t="s">
        <v>70</v>
      </c>
      <c r="N4" s="221"/>
      <c r="O4" s="221"/>
      <c r="P4" s="221"/>
      <c r="Q4" s="221"/>
      <c r="R4" s="221"/>
      <c r="S4" s="221"/>
      <c r="T4" s="222"/>
    </row>
    <row r="5" spans="1:20" ht="13.5" customHeight="1" x14ac:dyDescent="0.25">
      <c r="A5" s="216"/>
      <c r="B5" s="218"/>
      <c r="C5" s="216" t="s">
        <v>1</v>
      </c>
      <c r="D5" s="216" t="s">
        <v>2</v>
      </c>
      <c r="E5" s="216"/>
      <c r="F5" s="216"/>
      <c r="G5" s="216"/>
      <c r="H5" s="216" t="s">
        <v>1</v>
      </c>
      <c r="I5" s="216" t="s">
        <v>2</v>
      </c>
      <c r="J5" s="216"/>
      <c r="K5" s="216"/>
      <c r="L5" s="216"/>
      <c r="M5" s="223" t="s">
        <v>1</v>
      </c>
      <c r="N5" s="224"/>
      <c r="O5" s="220" t="s">
        <v>2</v>
      </c>
      <c r="P5" s="221"/>
      <c r="Q5" s="221"/>
      <c r="R5" s="221"/>
      <c r="S5" s="221"/>
      <c r="T5" s="222"/>
    </row>
    <row r="6" spans="1:20" ht="28.5" customHeight="1" x14ac:dyDescent="0.25">
      <c r="A6" s="216"/>
      <c r="B6" s="218"/>
      <c r="C6" s="216"/>
      <c r="D6" s="217" t="s">
        <v>3</v>
      </c>
      <c r="E6" s="217" t="s">
        <v>4</v>
      </c>
      <c r="F6" s="217" t="s">
        <v>59</v>
      </c>
      <c r="G6" s="216"/>
      <c r="H6" s="216"/>
      <c r="I6" s="217" t="s">
        <v>3</v>
      </c>
      <c r="J6" s="217" t="s">
        <v>4</v>
      </c>
      <c r="K6" s="217" t="s">
        <v>59</v>
      </c>
      <c r="L6" s="216"/>
      <c r="M6" s="225"/>
      <c r="N6" s="226"/>
      <c r="O6" s="220" t="s">
        <v>3</v>
      </c>
      <c r="P6" s="221"/>
      <c r="Q6" s="220" t="s">
        <v>4</v>
      </c>
      <c r="R6" s="221"/>
      <c r="S6" s="220" t="s">
        <v>59</v>
      </c>
      <c r="T6" s="222"/>
    </row>
    <row r="7" spans="1:20" ht="13.5" customHeight="1" x14ac:dyDescent="0.25">
      <c r="A7" s="216"/>
      <c r="B7" s="219"/>
      <c r="C7" s="216"/>
      <c r="D7" s="219"/>
      <c r="E7" s="219"/>
      <c r="F7" s="219"/>
      <c r="G7" s="216"/>
      <c r="H7" s="216"/>
      <c r="I7" s="219"/>
      <c r="J7" s="219"/>
      <c r="K7" s="219"/>
      <c r="L7" s="216"/>
      <c r="M7" s="16" t="s">
        <v>69</v>
      </c>
      <c r="N7" s="16" t="s">
        <v>64</v>
      </c>
      <c r="O7" s="16" t="s">
        <v>69</v>
      </c>
      <c r="P7" s="16" t="s">
        <v>64</v>
      </c>
      <c r="Q7" s="16" t="s">
        <v>69</v>
      </c>
      <c r="R7" s="16" t="s">
        <v>64</v>
      </c>
      <c r="S7" s="16" t="s">
        <v>69</v>
      </c>
      <c r="T7" s="16" t="s">
        <v>64</v>
      </c>
    </row>
    <row r="8" spans="1:20" s="63" customFormat="1" ht="34.5" customHeight="1" x14ac:dyDescent="0.25">
      <c r="A8" s="200"/>
      <c r="B8" s="201" t="s">
        <v>6</v>
      </c>
      <c r="C8" s="202">
        <f>SUM(D8:F8)</f>
        <v>3367272.3</v>
      </c>
      <c r="D8" s="202">
        <f>D9+D19+D46+D66+D73+D137+D165+D177+D188+D192+D208+D231+D242+D257+D269+D275+D277+D294+D303+D309</f>
        <v>1432660.8</v>
      </c>
      <c r="E8" s="202">
        <f>E9+E19+E46+E66+E73+E137+E165+E177+E188+E192+E208+E231+E242+E257+E269+E275+E277+E294+E303+E309</f>
        <v>1923782.1</v>
      </c>
      <c r="F8" s="202">
        <f>F9+F19+F46+F66+F73+F137+F165+F177+F188+F192+F208+F231+F242+F257+F269+F275+F277+F294+F303+F309</f>
        <v>10829.4</v>
      </c>
      <c r="G8" s="202">
        <f>G9+G19+G46+G66+G73+G137+G165+G177+G188+G192+G208+G231+G242+G257+G269+G275+G277+G294+G303+G309</f>
        <v>137143</v>
      </c>
      <c r="H8" s="202">
        <f>I8+J8+K8</f>
        <v>3288823.3</v>
      </c>
      <c r="I8" s="202">
        <f>I9+I19+I46+I66+I73+I137+I165+I177+I188+I192+I208+I231+I242+I257+I269+I275+I277+I294+I303+I309</f>
        <v>1404770.7</v>
      </c>
      <c r="J8" s="202">
        <f>J9+J19+J46+J66+J73+J137+J165+J177+J188+J192+J208+J231+J242+J257+J269+J275+J277+J294+J303+J309</f>
        <v>1873256.9</v>
      </c>
      <c r="K8" s="202">
        <f>K9+K19+K46+K66+K73+K137+K165+K177+K188+K192+K208+K231+K242+K257+K269+K275+K277+K294+K303+K309</f>
        <v>10795.7</v>
      </c>
      <c r="L8" s="202">
        <f>L9+L19+L46+L66+L73+L137+L165+L177+L188+L192+L208+L231+L242+L257+L269+L275+L277+L294+L303+L309</f>
        <v>132381.5</v>
      </c>
      <c r="M8" s="202">
        <f>IFERROR(H8/C8*100,"-")</f>
        <v>97.7</v>
      </c>
      <c r="N8" s="202">
        <f>C8-H8</f>
        <v>78449</v>
      </c>
      <c r="O8" s="202">
        <f>IFERROR(I8/D8*100,"-")</f>
        <v>98.1</v>
      </c>
      <c r="P8" s="202">
        <f>D8-I8</f>
        <v>27890.1</v>
      </c>
      <c r="Q8" s="202">
        <f>IFERROR(J8/E8*100,"-")</f>
        <v>97.4</v>
      </c>
      <c r="R8" s="202">
        <f>E8-J8</f>
        <v>50525.2</v>
      </c>
      <c r="S8" s="202">
        <f>IFERROR(K8/F8*100,"-")</f>
        <v>99.7</v>
      </c>
      <c r="T8" s="202">
        <f>F8-K8</f>
        <v>33.700000000000003</v>
      </c>
    </row>
    <row r="9" spans="1:20" s="62" customFormat="1" ht="40.5" collapsed="1" x14ac:dyDescent="0.25">
      <c r="A9" s="40">
        <v>1</v>
      </c>
      <c r="B9" s="41" t="s">
        <v>5</v>
      </c>
      <c r="C9" s="42">
        <f>SUM(D9:F9)</f>
        <v>10666.2</v>
      </c>
      <c r="D9" s="43">
        <f>D10+D14+D15+D16+D17+D18</f>
        <v>4660</v>
      </c>
      <c r="E9" s="43">
        <f>E10+E14+E15+E16+E17+E18</f>
        <v>6006.2</v>
      </c>
      <c r="F9" s="43">
        <f>F10+F14+F15+F16+F17+F18</f>
        <v>0</v>
      </c>
      <c r="G9" s="43">
        <f>SUM(G10:G18)</f>
        <v>0</v>
      </c>
      <c r="H9" s="42">
        <f>SUM(I9:K9)</f>
        <v>10266</v>
      </c>
      <c r="I9" s="43">
        <f>I10+I14+I15+I16+I17+I18</f>
        <v>4649.3999999999996</v>
      </c>
      <c r="J9" s="43">
        <f>J10+J14+J15+J16+J17+J18</f>
        <v>5616.6</v>
      </c>
      <c r="K9" s="43">
        <f>K10+K14+K15+K16+K17+K18</f>
        <v>0</v>
      </c>
      <c r="L9" s="43">
        <f>SUM(L10:L18)</f>
        <v>0</v>
      </c>
      <c r="M9" s="42">
        <f t="shared" ref="M9:M77" si="0">IFERROR(H9/C9*100,"-")</f>
        <v>96.2</v>
      </c>
      <c r="N9" s="42">
        <f t="shared" ref="N9:N96" si="1">C9-H9</f>
        <v>400.2</v>
      </c>
      <c r="O9" s="42">
        <f t="shared" ref="O9:O77" si="2">IFERROR(I9/D9*100,"-")</f>
        <v>99.8</v>
      </c>
      <c r="P9" s="42">
        <f t="shared" ref="P9:P91" si="3">D9-I9</f>
        <v>10.6</v>
      </c>
      <c r="Q9" s="42">
        <f t="shared" ref="Q9:Q77" si="4">IFERROR(J9/E9*100,"-")</f>
        <v>93.5</v>
      </c>
      <c r="R9" s="42">
        <f t="shared" ref="R9:R72" si="5">E9-J9</f>
        <v>389.6</v>
      </c>
      <c r="S9" s="42" t="str">
        <f t="shared" ref="S9:S72" si="6">IFERROR(K9/F9*100,"-")</f>
        <v>-</v>
      </c>
      <c r="T9" s="42">
        <f t="shared" ref="T9:T72" si="7">F9-K9</f>
        <v>0</v>
      </c>
    </row>
    <row r="10" spans="1:20" s="57" customFormat="1" ht="27" hidden="1" customHeight="1" outlineLevel="1" x14ac:dyDescent="0.25">
      <c r="A10" s="47" t="s">
        <v>414</v>
      </c>
      <c r="B10" s="39" t="s">
        <v>702</v>
      </c>
      <c r="C10" s="44">
        <f>SUM(D10:F10)</f>
        <v>3868.4</v>
      </c>
      <c r="D10" s="44">
        <f>SUM(D11:D13)</f>
        <v>3868.4</v>
      </c>
      <c r="E10" s="44">
        <f>SUM(E11:E13)</f>
        <v>0</v>
      </c>
      <c r="F10" s="44">
        <f>SUM(F11:F13)</f>
        <v>0</v>
      </c>
      <c r="G10" s="44">
        <f>SUM(G11:G13)</f>
        <v>0</v>
      </c>
      <c r="H10" s="44">
        <f>SUM(I10:K10)</f>
        <v>3868.4</v>
      </c>
      <c r="I10" s="45">
        <f>SUM(I11:I13)</f>
        <v>3868.4</v>
      </c>
      <c r="J10" s="45">
        <f>SUM(J11:J13)</f>
        <v>0</v>
      </c>
      <c r="K10" s="45">
        <f>SUM(K11:K13)</f>
        <v>0</v>
      </c>
      <c r="L10" s="45">
        <f>SUM(L11:L13)</f>
        <v>0</v>
      </c>
      <c r="M10" s="44">
        <f t="shared" si="0"/>
        <v>100</v>
      </c>
      <c r="N10" s="44">
        <f t="shared" si="1"/>
        <v>0</v>
      </c>
      <c r="O10" s="44">
        <f t="shared" si="2"/>
        <v>100</v>
      </c>
      <c r="P10" s="44">
        <f t="shared" si="3"/>
        <v>0</v>
      </c>
      <c r="Q10" s="44" t="str">
        <f t="shared" si="4"/>
        <v>-</v>
      </c>
      <c r="R10" s="44">
        <f t="shared" si="5"/>
        <v>0</v>
      </c>
      <c r="S10" s="44" t="str">
        <f>IFERROR(K10/F10*100,"-")</f>
        <v>-</v>
      </c>
      <c r="T10" s="44">
        <f t="shared" si="7"/>
        <v>0</v>
      </c>
    </row>
    <row r="11" spans="1:20" s="57" customFormat="1" ht="13.5" hidden="1" customHeight="1" outlineLevel="2" x14ac:dyDescent="0.25">
      <c r="A11" s="212"/>
      <c r="B11" s="46" t="s">
        <v>305</v>
      </c>
      <c r="C11" s="44">
        <f t="shared" ref="C11:C18" si="8">SUM(D11:F11)</f>
        <v>3068.4</v>
      </c>
      <c r="D11" s="44">
        <v>3068.4</v>
      </c>
      <c r="E11" s="44">
        <v>0</v>
      </c>
      <c r="F11" s="44">
        <v>0</v>
      </c>
      <c r="G11" s="44">
        <v>0</v>
      </c>
      <c r="H11" s="44">
        <f t="shared" ref="H11:H81" si="9">SUM(I11:K11)</f>
        <v>3068.4</v>
      </c>
      <c r="I11" s="44">
        <v>3068.4</v>
      </c>
      <c r="J11" s="44">
        <v>0</v>
      </c>
      <c r="K11" s="44">
        <v>0</v>
      </c>
      <c r="L11" s="44">
        <v>0</v>
      </c>
      <c r="M11" s="44">
        <f t="shared" si="0"/>
        <v>100</v>
      </c>
      <c r="N11" s="44">
        <f t="shared" si="1"/>
        <v>0</v>
      </c>
      <c r="O11" s="44">
        <f t="shared" si="2"/>
        <v>100</v>
      </c>
      <c r="P11" s="44">
        <f t="shared" si="3"/>
        <v>0</v>
      </c>
      <c r="Q11" s="44" t="str">
        <f t="shared" si="4"/>
        <v>-</v>
      </c>
      <c r="R11" s="44">
        <f t="shared" si="5"/>
        <v>0</v>
      </c>
      <c r="S11" s="44" t="str">
        <f t="shared" ref="S11:S18" si="10">IFERROR(K11/F11*100,"-")</f>
        <v>-</v>
      </c>
      <c r="T11" s="44">
        <f t="shared" si="7"/>
        <v>0</v>
      </c>
    </row>
    <row r="12" spans="1:20" s="57" customFormat="1" ht="40.5" hidden="1" customHeight="1" outlineLevel="2" x14ac:dyDescent="0.25">
      <c r="A12" s="212"/>
      <c r="B12" s="46" t="s">
        <v>469</v>
      </c>
      <c r="C12" s="44">
        <f t="shared" si="8"/>
        <v>500</v>
      </c>
      <c r="D12" s="44">
        <v>500</v>
      </c>
      <c r="E12" s="44">
        <v>0</v>
      </c>
      <c r="F12" s="44">
        <v>0</v>
      </c>
      <c r="G12" s="44">
        <v>0</v>
      </c>
      <c r="H12" s="44">
        <f t="shared" si="9"/>
        <v>500</v>
      </c>
      <c r="I12" s="44">
        <v>500</v>
      </c>
      <c r="J12" s="44">
        <v>0</v>
      </c>
      <c r="K12" s="44">
        <v>0</v>
      </c>
      <c r="L12" s="44">
        <v>0</v>
      </c>
      <c r="M12" s="44">
        <f t="shared" si="0"/>
        <v>100</v>
      </c>
      <c r="N12" s="44">
        <f t="shared" si="1"/>
        <v>0</v>
      </c>
      <c r="O12" s="44">
        <f t="shared" si="2"/>
        <v>100</v>
      </c>
      <c r="P12" s="44">
        <f t="shared" si="3"/>
        <v>0</v>
      </c>
      <c r="Q12" s="44" t="str">
        <f t="shared" si="4"/>
        <v>-</v>
      </c>
      <c r="R12" s="44">
        <f t="shared" si="5"/>
        <v>0</v>
      </c>
      <c r="S12" s="44" t="str">
        <f t="shared" si="10"/>
        <v>-</v>
      </c>
      <c r="T12" s="44">
        <f t="shared" si="7"/>
        <v>0</v>
      </c>
    </row>
    <row r="13" spans="1:20" s="57" customFormat="1" ht="54" hidden="1" customHeight="1" outlineLevel="2" x14ac:dyDescent="0.25">
      <c r="A13" s="212"/>
      <c r="B13" s="46" t="s">
        <v>470</v>
      </c>
      <c r="C13" s="44">
        <f t="shared" si="8"/>
        <v>300</v>
      </c>
      <c r="D13" s="44">
        <v>300</v>
      </c>
      <c r="E13" s="44">
        <v>0</v>
      </c>
      <c r="F13" s="44">
        <v>0</v>
      </c>
      <c r="G13" s="44">
        <v>0</v>
      </c>
      <c r="H13" s="44">
        <f t="shared" si="9"/>
        <v>300</v>
      </c>
      <c r="I13" s="44">
        <v>300</v>
      </c>
      <c r="J13" s="44">
        <v>0</v>
      </c>
      <c r="K13" s="44">
        <v>0</v>
      </c>
      <c r="L13" s="44">
        <v>0</v>
      </c>
      <c r="M13" s="44">
        <f t="shared" si="0"/>
        <v>100</v>
      </c>
      <c r="N13" s="44">
        <f t="shared" si="1"/>
        <v>0</v>
      </c>
      <c r="O13" s="44">
        <f t="shared" si="2"/>
        <v>100</v>
      </c>
      <c r="P13" s="44">
        <f t="shared" si="3"/>
        <v>0</v>
      </c>
      <c r="Q13" s="44" t="str">
        <f t="shared" si="4"/>
        <v>-</v>
      </c>
      <c r="R13" s="44">
        <f t="shared" si="5"/>
        <v>0</v>
      </c>
      <c r="S13" s="44" t="str">
        <f t="shared" si="10"/>
        <v>-</v>
      </c>
      <c r="T13" s="44">
        <f t="shared" si="7"/>
        <v>0</v>
      </c>
    </row>
    <row r="14" spans="1:20" s="57" customFormat="1" ht="27" hidden="1" customHeight="1" outlineLevel="1" x14ac:dyDescent="0.25">
      <c r="A14" s="212" t="s">
        <v>415</v>
      </c>
      <c r="B14" s="248" t="s">
        <v>703</v>
      </c>
      <c r="C14" s="44">
        <f t="shared" si="8"/>
        <v>875.3</v>
      </c>
      <c r="D14" s="44">
        <v>224.1</v>
      </c>
      <c r="E14" s="44">
        <v>651.20000000000005</v>
      </c>
      <c r="F14" s="44">
        <v>0</v>
      </c>
      <c r="G14" s="44">
        <v>0</v>
      </c>
      <c r="H14" s="44">
        <f t="shared" si="9"/>
        <v>875.3</v>
      </c>
      <c r="I14" s="44">
        <v>224.1</v>
      </c>
      <c r="J14" s="44">
        <v>651.20000000000005</v>
      </c>
      <c r="K14" s="44">
        <v>0</v>
      </c>
      <c r="L14" s="44">
        <v>0</v>
      </c>
      <c r="M14" s="44">
        <f t="shared" si="0"/>
        <v>100</v>
      </c>
      <c r="N14" s="44">
        <f t="shared" si="1"/>
        <v>0</v>
      </c>
      <c r="O14" s="44">
        <f t="shared" si="2"/>
        <v>100</v>
      </c>
      <c r="P14" s="44">
        <f t="shared" si="3"/>
        <v>0</v>
      </c>
      <c r="Q14" s="44">
        <f t="shared" si="4"/>
        <v>100</v>
      </c>
      <c r="R14" s="44">
        <f t="shared" si="5"/>
        <v>0</v>
      </c>
      <c r="S14" s="44" t="str">
        <f t="shared" si="10"/>
        <v>-</v>
      </c>
      <c r="T14" s="44">
        <f t="shared" si="7"/>
        <v>0</v>
      </c>
    </row>
    <row r="15" spans="1:20" s="57" customFormat="1" ht="54" hidden="1" customHeight="1" outlineLevel="1" x14ac:dyDescent="0.25">
      <c r="A15" s="212" t="s">
        <v>416</v>
      </c>
      <c r="B15" s="39" t="s">
        <v>704</v>
      </c>
      <c r="C15" s="44">
        <f t="shared" si="8"/>
        <v>3253.1</v>
      </c>
      <c r="D15" s="44">
        <v>162.69999999999999</v>
      </c>
      <c r="E15" s="44">
        <v>3090.4</v>
      </c>
      <c r="F15" s="44">
        <v>0</v>
      </c>
      <c r="G15" s="44">
        <v>0</v>
      </c>
      <c r="H15" s="44">
        <f t="shared" si="9"/>
        <v>3253.1</v>
      </c>
      <c r="I15" s="44">
        <v>162.69999999999999</v>
      </c>
      <c r="J15" s="44">
        <v>3090.4</v>
      </c>
      <c r="K15" s="44">
        <v>0</v>
      </c>
      <c r="L15" s="44">
        <v>0</v>
      </c>
      <c r="M15" s="44">
        <f t="shared" si="0"/>
        <v>100</v>
      </c>
      <c r="N15" s="44">
        <f t="shared" si="1"/>
        <v>0</v>
      </c>
      <c r="O15" s="44">
        <f t="shared" si="2"/>
        <v>100</v>
      </c>
      <c r="P15" s="44">
        <f t="shared" si="3"/>
        <v>0</v>
      </c>
      <c r="Q15" s="44">
        <f t="shared" si="4"/>
        <v>100</v>
      </c>
      <c r="R15" s="44">
        <f t="shared" si="5"/>
        <v>0</v>
      </c>
      <c r="S15" s="44" t="str">
        <f t="shared" si="10"/>
        <v>-</v>
      </c>
      <c r="T15" s="44">
        <f t="shared" si="7"/>
        <v>0</v>
      </c>
    </row>
    <row r="16" spans="1:20" s="57" customFormat="1" ht="27" hidden="1" customHeight="1" outlineLevel="1" x14ac:dyDescent="0.25">
      <c r="A16" s="212" t="s">
        <v>417</v>
      </c>
      <c r="B16" s="39" t="s">
        <v>705</v>
      </c>
      <c r="C16" s="44">
        <f t="shared" si="8"/>
        <v>1926.8</v>
      </c>
      <c r="D16" s="44">
        <v>276.8</v>
      </c>
      <c r="E16" s="44">
        <v>1650</v>
      </c>
      <c r="F16" s="44">
        <v>0</v>
      </c>
      <c r="G16" s="44">
        <v>0</v>
      </c>
      <c r="H16" s="44">
        <f t="shared" si="9"/>
        <v>1686.6</v>
      </c>
      <c r="I16" s="44">
        <v>274.3</v>
      </c>
      <c r="J16" s="44">
        <v>1412.3</v>
      </c>
      <c r="K16" s="44">
        <v>0</v>
      </c>
      <c r="L16" s="44">
        <v>0</v>
      </c>
      <c r="M16" s="44">
        <f t="shared" si="0"/>
        <v>87.5</v>
      </c>
      <c r="N16" s="44">
        <f t="shared" si="1"/>
        <v>240.2</v>
      </c>
      <c r="O16" s="44">
        <f t="shared" si="2"/>
        <v>99.1</v>
      </c>
      <c r="P16" s="44">
        <f t="shared" si="3"/>
        <v>2.5</v>
      </c>
      <c r="Q16" s="44">
        <f t="shared" si="4"/>
        <v>85.6</v>
      </c>
      <c r="R16" s="44">
        <f t="shared" si="5"/>
        <v>237.7</v>
      </c>
      <c r="S16" s="44" t="str">
        <f t="shared" si="10"/>
        <v>-</v>
      </c>
      <c r="T16" s="44">
        <f t="shared" si="7"/>
        <v>0</v>
      </c>
    </row>
    <row r="17" spans="1:20" s="57" customFormat="1" ht="27" hidden="1" customHeight="1" outlineLevel="1" x14ac:dyDescent="0.25">
      <c r="A17" s="212" t="s">
        <v>418</v>
      </c>
      <c r="B17" s="39" t="s">
        <v>706</v>
      </c>
      <c r="C17" s="44">
        <f t="shared" si="8"/>
        <v>182.7</v>
      </c>
      <c r="D17" s="44">
        <v>100</v>
      </c>
      <c r="E17" s="44">
        <v>82.7</v>
      </c>
      <c r="F17" s="44">
        <v>0</v>
      </c>
      <c r="G17" s="44">
        <v>0</v>
      </c>
      <c r="H17" s="44">
        <f t="shared" si="9"/>
        <v>182.6</v>
      </c>
      <c r="I17" s="44">
        <v>99.9</v>
      </c>
      <c r="J17" s="44">
        <v>82.7</v>
      </c>
      <c r="K17" s="44">
        <v>0</v>
      </c>
      <c r="L17" s="44">
        <v>0</v>
      </c>
      <c r="M17" s="44">
        <f t="shared" si="0"/>
        <v>99.9</v>
      </c>
      <c r="N17" s="44">
        <f t="shared" si="1"/>
        <v>0.1</v>
      </c>
      <c r="O17" s="44">
        <f t="shared" si="2"/>
        <v>99.9</v>
      </c>
      <c r="P17" s="44">
        <f t="shared" si="3"/>
        <v>0.1</v>
      </c>
      <c r="Q17" s="44">
        <f t="shared" si="4"/>
        <v>100</v>
      </c>
      <c r="R17" s="44">
        <f t="shared" si="5"/>
        <v>0</v>
      </c>
      <c r="S17" s="44" t="str">
        <f t="shared" si="10"/>
        <v>-</v>
      </c>
      <c r="T17" s="44">
        <f t="shared" si="7"/>
        <v>0</v>
      </c>
    </row>
    <row r="18" spans="1:20" s="57" customFormat="1" ht="81" hidden="1" customHeight="1" outlineLevel="1" x14ac:dyDescent="0.25">
      <c r="A18" s="212" t="s">
        <v>419</v>
      </c>
      <c r="B18" s="39" t="s">
        <v>707</v>
      </c>
      <c r="C18" s="44">
        <f t="shared" si="8"/>
        <v>559.9</v>
      </c>
      <c r="D18" s="44">
        <v>28</v>
      </c>
      <c r="E18" s="44">
        <v>531.9</v>
      </c>
      <c r="F18" s="44">
        <v>0</v>
      </c>
      <c r="G18" s="44">
        <v>0</v>
      </c>
      <c r="H18" s="44">
        <f t="shared" si="9"/>
        <v>400</v>
      </c>
      <c r="I18" s="44">
        <v>20</v>
      </c>
      <c r="J18" s="44">
        <v>380</v>
      </c>
      <c r="K18" s="44">
        <v>0</v>
      </c>
      <c r="L18" s="44">
        <v>0</v>
      </c>
      <c r="M18" s="44">
        <f t="shared" si="0"/>
        <v>71.400000000000006</v>
      </c>
      <c r="N18" s="44">
        <f t="shared" si="1"/>
        <v>159.9</v>
      </c>
      <c r="O18" s="44">
        <f t="shared" si="2"/>
        <v>71.400000000000006</v>
      </c>
      <c r="P18" s="44">
        <f t="shared" si="3"/>
        <v>8</v>
      </c>
      <c r="Q18" s="44">
        <f t="shared" si="4"/>
        <v>71.400000000000006</v>
      </c>
      <c r="R18" s="44">
        <f t="shared" si="5"/>
        <v>151.9</v>
      </c>
      <c r="S18" s="44" t="str">
        <f t="shared" si="10"/>
        <v>-</v>
      </c>
      <c r="T18" s="44">
        <f t="shared" si="7"/>
        <v>0</v>
      </c>
    </row>
    <row r="19" spans="1:20" s="24" customFormat="1" ht="35.25" customHeight="1" collapsed="1" x14ac:dyDescent="0.25">
      <c r="A19" s="48">
        <v>2</v>
      </c>
      <c r="B19" s="41" t="s">
        <v>10</v>
      </c>
      <c r="C19" s="42">
        <f>SUM(D19:F19)</f>
        <v>1417494.4</v>
      </c>
      <c r="D19" s="43">
        <f>D20+D31+D36+D44</f>
        <v>288878.40000000002</v>
      </c>
      <c r="E19" s="43">
        <f>E20+E31+E36+E44</f>
        <v>1128616</v>
      </c>
      <c r="F19" s="43">
        <f>F20+F31+F36+F44</f>
        <v>0</v>
      </c>
      <c r="G19" s="43">
        <f>G20+G31+G36+G44</f>
        <v>94616.1</v>
      </c>
      <c r="H19" s="42">
        <f>SUM(I19:K19)</f>
        <v>1379929.6</v>
      </c>
      <c r="I19" s="43">
        <f>I20+I31+I36+I44</f>
        <v>284451.40000000002</v>
      </c>
      <c r="J19" s="43">
        <f>J20+J31+J36+J44</f>
        <v>1095478.2</v>
      </c>
      <c r="K19" s="43">
        <f>K20+K31+K36+K44</f>
        <v>0</v>
      </c>
      <c r="L19" s="43">
        <f>L20+L31+L36+L44</f>
        <v>89854.6</v>
      </c>
      <c r="M19" s="42">
        <f>IFERROR(H19/C19*100,"-")</f>
        <v>97.3</v>
      </c>
      <c r="N19" s="42">
        <f>C19-H19</f>
        <v>37564.800000000003</v>
      </c>
      <c r="O19" s="143">
        <f t="shared" si="2"/>
        <v>98.5</v>
      </c>
      <c r="P19" s="42">
        <f t="shared" si="3"/>
        <v>4427</v>
      </c>
      <c r="Q19" s="42">
        <f t="shared" si="4"/>
        <v>97.1</v>
      </c>
      <c r="R19" s="42">
        <f t="shared" si="5"/>
        <v>33137.800000000003</v>
      </c>
      <c r="S19" s="42" t="str">
        <f t="shared" si="6"/>
        <v>-</v>
      </c>
      <c r="T19" s="42">
        <f t="shared" si="7"/>
        <v>0</v>
      </c>
    </row>
    <row r="20" spans="1:20" ht="27" hidden="1" outlineLevel="1" x14ac:dyDescent="0.25">
      <c r="A20" s="25"/>
      <c r="B20" s="81" t="s">
        <v>176</v>
      </c>
      <c r="C20" s="59">
        <f>SUM(D20:F20)</f>
        <v>1297526.8999999999</v>
      </c>
      <c r="D20" s="138">
        <f>D21+D24+D28</f>
        <v>198176.5</v>
      </c>
      <c r="E20" s="138">
        <f>E21+E24+E28</f>
        <v>1099350.3999999999</v>
      </c>
      <c r="F20" s="138">
        <f>F21+F24+F28</f>
        <v>0</v>
      </c>
      <c r="G20" s="138">
        <f>G21+G24</f>
        <v>94561.1</v>
      </c>
      <c r="H20" s="138">
        <f>SUM(I20:K20)</f>
        <v>1292304.3</v>
      </c>
      <c r="I20" s="138">
        <f>I21+I24+I28</f>
        <v>197231.1</v>
      </c>
      <c r="J20" s="138">
        <f>J21+J24+J28</f>
        <v>1095073.2</v>
      </c>
      <c r="K20" s="138">
        <f>K21+K24+K28</f>
        <v>0</v>
      </c>
      <c r="L20" s="138">
        <f>L21+L24</f>
        <v>89799.6</v>
      </c>
      <c r="M20" s="139">
        <f>IFERROR(H20/C20*100,"-")</f>
        <v>99.6</v>
      </c>
      <c r="N20" s="144">
        <f t="shared" si="1"/>
        <v>5222.6000000000004</v>
      </c>
      <c r="O20" s="139">
        <f t="shared" si="2"/>
        <v>99.5</v>
      </c>
      <c r="P20" s="139">
        <f t="shared" si="3"/>
        <v>945.4</v>
      </c>
      <c r="Q20" s="139">
        <f t="shared" si="4"/>
        <v>99.6</v>
      </c>
      <c r="R20" s="139">
        <f t="shared" si="5"/>
        <v>4277.2</v>
      </c>
      <c r="S20" s="139" t="str">
        <f t="shared" si="6"/>
        <v>-</v>
      </c>
      <c r="T20" s="139">
        <f t="shared" si="7"/>
        <v>0</v>
      </c>
    </row>
    <row r="21" spans="1:20" ht="27" hidden="1" customHeight="1" outlineLevel="2" x14ac:dyDescent="0.25">
      <c r="A21" s="25"/>
      <c r="B21" s="136" t="s">
        <v>591</v>
      </c>
      <c r="C21" s="44">
        <f>SUM(D21:G21)</f>
        <v>1285204.1000000001</v>
      </c>
      <c r="D21" s="45">
        <f>D22+D23</f>
        <v>140694.9</v>
      </c>
      <c r="E21" s="45">
        <f>E22+E23</f>
        <v>1081420.7</v>
      </c>
      <c r="F21" s="45">
        <f>F22+F23</f>
        <v>0</v>
      </c>
      <c r="G21" s="45">
        <f>G22+G23</f>
        <v>63088.5</v>
      </c>
      <c r="H21" s="44">
        <f>SUM(I21:L21)</f>
        <v>1275936.1000000001</v>
      </c>
      <c r="I21" s="45">
        <f>I22+I23</f>
        <v>140450.70000000001</v>
      </c>
      <c r="J21" s="45">
        <f>J22+J23</f>
        <v>1077143.5</v>
      </c>
      <c r="K21" s="45">
        <f>K22+K23</f>
        <v>0</v>
      </c>
      <c r="L21" s="45">
        <f>L22+L23</f>
        <v>58341.9</v>
      </c>
      <c r="M21" s="44">
        <f t="shared" si="0"/>
        <v>99.3</v>
      </c>
      <c r="N21" s="44">
        <f t="shared" si="1"/>
        <v>9268</v>
      </c>
      <c r="O21" s="44">
        <f t="shared" si="2"/>
        <v>99.8</v>
      </c>
      <c r="P21" s="44">
        <f t="shared" si="3"/>
        <v>244.2</v>
      </c>
      <c r="Q21" s="44">
        <f t="shared" si="4"/>
        <v>99.6</v>
      </c>
      <c r="R21" s="44">
        <f t="shared" si="5"/>
        <v>4277.2</v>
      </c>
      <c r="S21" s="44" t="str">
        <f t="shared" si="6"/>
        <v>-</v>
      </c>
      <c r="T21" s="44">
        <f t="shared" si="7"/>
        <v>0</v>
      </c>
    </row>
    <row r="22" spans="1:20" ht="40.5" hidden="1" customHeight="1" outlineLevel="3" x14ac:dyDescent="0.25">
      <c r="A22" s="25"/>
      <c r="B22" s="134" t="s">
        <v>283</v>
      </c>
      <c r="C22" s="44">
        <f>SUM(D22:F22)</f>
        <v>411203.5</v>
      </c>
      <c r="D22" s="45">
        <v>54406.7</v>
      </c>
      <c r="E22" s="135">
        <v>356796.8</v>
      </c>
      <c r="F22" s="135">
        <v>0</v>
      </c>
      <c r="G22" s="135">
        <v>48150.2</v>
      </c>
      <c r="H22" s="44">
        <f>SUM(I22:K22)</f>
        <v>408899.6</v>
      </c>
      <c r="I22" s="45">
        <v>54280.4</v>
      </c>
      <c r="J22" s="135">
        <v>354619.2</v>
      </c>
      <c r="K22" s="73">
        <v>0</v>
      </c>
      <c r="L22" s="73">
        <v>44041.599999999999</v>
      </c>
      <c r="M22" s="44">
        <f t="shared" si="0"/>
        <v>99.4</v>
      </c>
      <c r="N22" s="44">
        <f t="shared" si="1"/>
        <v>2303.9</v>
      </c>
      <c r="O22" s="44">
        <f t="shared" si="2"/>
        <v>99.8</v>
      </c>
      <c r="P22" s="44">
        <f t="shared" si="3"/>
        <v>126.3</v>
      </c>
      <c r="Q22" s="44">
        <f t="shared" si="4"/>
        <v>99.4</v>
      </c>
      <c r="R22" s="44">
        <f t="shared" si="5"/>
        <v>2177.6</v>
      </c>
      <c r="S22" s="44" t="str">
        <f t="shared" si="6"/>
        <v>-</v>
      </c>
      <c r="T22" s="44">
        <f t="shared" si="7"/>
        <v>0</v>
      </c>
    </row>
    <row r="23" spans="1:20" ht="27" hidden="1" customHeight="1" outlineLevel="3" x14ac:dyDescent="0.25">
      <c r="A23" s="25"/>
      <c r="B23" s="134" t="s">
        <v>284</v>
      </c>
      <c r="C23" s="44">
        <f>SUM(D23:F23)</f>
        <v>810912.1</v>
      </c>
      <c r="D23" s="45">
        <v>86288.2</v>
      </c>
      <c r="E23" s="135">
        <v>724623.9</v>
      </c>
      <c r="F23" s="135">
        <v>0</v>
      </c>
      <c r="G23" s="135">
        <v>14938.3</v>
      </c>
      <c r="H23" s="44">
        <f>SUM(I23:K23)</f>
        <v>808694.6</v>
      </c>
      <c r="I23" s="45">
        <v>86170.3</v>
      </c>
      <c r="J23" s="135">
        <v>722524.3</v>
      </c>
      <c r="K23" s="73">
        <v>0</v>
      </c>
      <c r="L23" s="73">
        <v>14300.3</v>
      </c>
      <c r="M23" s="44">
        <f t="shared" si="0"/>
        <v>99.7</v>
      </c>
      <c r="N23" s="44">
        <f t="shared" si="1"/>
        <v>2217.5</v>
      </c>
      <c r="O23" s="44">
        <f t="shared" si="2"/>
        <v>99.9</v>
      </c>
      <c r="P23" s="44">
        <f t="shared" si="3"/>
        <v>117.9</v>
      </c>
      <c r="Q23" s="44">
        <f t="shared" si="4"/>
        <v>99.7</v>
      </c>
      <c r="R23" s="44">
        <f t="shared" si="5"/>
        <v>2099.6</v>
      </c>
      <c r="S23" s="44" t="str">
        <f t="shared" si="6"/>
        <v>-</v>
      </c>
      <c r="T23" s="44">
        <f t="shared" si="7"/>
        <v>0</v>
      </c>
    </row>
    <row r="24" spans="1:20" ht="27" hidden="1" customHeight="1" outlineLevel="2" x14ac:dyDescent="0.25">
      <c r="A24" s="25"/>
      <c r="B24" s="136" t="s">
        <v>582</v>
      </c>
      <c r="C24" s="44">
        <f>SUM(D24:F24)</f>
        <v>64736.1</v>
      </c>
      <c r="D24" s="45">
        <f>D25+D26</f>
        <v>50605.1</v>
      </c>
      <c r="E24" s="45">
        <f>E25+E26</f>
        <v>14131</v>
      </c>
      <c r="F24" s="45">
        <f>F25+F26</f>
        <v>0</v>
      </c>
      <c r="G24" s="45">
        <f>G25+G26</f>
        <v>31472.6</v>
      </c>
      <c r="H24" s="44">
        <f>SUM(I24:K24)</f>
        <v>64034.9</v>
      </c>
      <c r="I24" s="45">
        <f>I25+I26</f>
        <v>49903.9</v>
      </c>
      <c r="J24" s="45">
        <f>J25+J26</f>
        <v>14131</v>
      </c>
      <c r="K24" s="45">
        <f>K25+K26</f>
        <v>0</v>
      </c>
      <c r="L24" s="45">
        <f>L25+L26</f>
        <v>31457.7</v>
      </c>
      <c r="M24" s="44">
        <f>IFERROR(H24/C24*100,"-")</f>
        <v>98.9</v>
      </c>
      <c r="N24" s="44">
        <f t="shared" si="1"/>
        <v>701.2</v>
      </c>
      <c r="O24" s="44">
        <f t="shared" si="2"/>
        <v>98.6</v>
      </c>
      <c r="P24" s="44">
        <f t="shared" si="3"/>
        <v>701.2</v>
      </c>
      <c r="Q24" s="44">
        <f t="shared" si="4"/>
        <v>100</v>
      </c>
      <c r="R24" s="44">
        <f t="shared" si="5"/>
        <v>0</v>
      </c>
      <c r="S24" s="44" t="str">
        <f t="shared" si="6"/>
        <v>-</v>
      </c>
      <c r="T24" s="44">
        <f t="shared" si="7"/>
        <v>0</v>
      </c>
    </row>
    <row r="25" spans="1:20" ht="13.5" hidden="1" customHeight="1" outlineLevel="3" x14ac:dyDescent="0.25">
      <c r="A25" s="25"/>
      <c r="B25" s="134" t="s">
        <v>437</v>
      </c>
      <c r="C25" s="44">
        <f>SUM(D25:F25)</f>
        <v>19268.599999999999</v>
      </c>
      <c r="D25" s="45">
        <v>19268.599999999999</v>
      </c>
      <c r="E25" s="135">
        <v>0</v>
      </c>
      <c r="F25" s="135">
        <v>0</v>
      </c>
      <c r="G25" s="135">
        <v>31472.6</v>
      </c>
      <c r="H25" s="44">
        <f>SUM(I25:K25)</f>
        <v>19268.599999999999</v>
      </c>
      <c r="I25" s="45">
        <v>19268.599999999999</v>
      </c>
      <c r="J25" s="135">
        <v>0</v>
      </c>
      <c r="K25" s="73">
        <v>0</v>
      </c>
      <c r="L25" s="73">
        <v>31457.7</v>
      </c>
      <c r="M25" s="44">
        <f>IFERROR(H25/C25*100,"-")</f>
        <v>100</v>
      </c>
      <c r="N25" s="44">
        <f t="shared" si="1"/>
        <v>0</v>
      </c>
      <c r="O25" s="44">
        <f t="shared" si="2"/>
        <v>100</v>
      </c>
      <c r="P25" s="44">
        <f t="shared" si="3"/>
        <v>0</v>
      </c>
      <c r="Q25" s="44" t="str">
        <f t="shared" si="4"/>
        <v>-</v>
      </c>
      <c r="R25" s="44">
        <f t="shared" si="5"/>
        <v>0</v>
      </c>
      <c r="S25" s="44" t="str">
        <f t="shared" si="6"/>
        <v>-</v>
      </c>
      <c r="T25" s="44">
        <f t="shared" si="7"/>
        <v>0</v>
      </c>
    </row>
    <row r="26" spans="1:20" ht="40.5" hidden="1" customHeight="1" outlineLevel="3" x14ac:dyDescent="0.25">
      <c r="A26" s="25"/>
      <c r="B26" s="134" t="s">
        <v>438</v>
      </c>
      <c r="C26" s="44">
        <f>SUM(D26:G26)</f>
        <v>45467.5</v>
      </c>
      <c r="D26" s="45">
        <v>31336.5</v>
      </c>
      <c r="E26" s="135">
        <v>14131</v>
      </c>
      <c r="F26" s="135">
        <v>0</v>
      </c>
      <c r="G26" s="135">
        <v>0</v>
      </c>
      <c r="H26" s="44">
        <f>SUM(I26:L26)</f>
        <v>44766.3</v>
      </c>
      <c r="I26" s="45">
        <v>30635.3</v>
      </c>
      <c r="J26" s="135">
        <v>14131</v>
      </c>
      <c r="K26" s="73"/>
      <c r="L26" s="73"/>
      <c r="M26" s="44">
        <f t="shared" si="0"/>
        <v>98.5</v>
      </c>
      <c r="N26" s="44">
        <f t="shared" si="1"/>
        <v>701.2</v>
      </c>
      <c r="O26" s="44">
        <f t="shared" si="2"/>
        <v>97.8</v>
      </c>
      <c r="P26" s="44">
        <f t="shared" si="3"/>
        <v>701.2</v>
      </c>
      <c r="Q26" s="44">
        <f t="shared" si="4"/>
        <v>100</v>
      </c>
      <c r="R26" s="44">
        <f t="shared" si="5"/>
        <v>0</v>
      </c>
      <c r="S26" s="44" t="str">
        <f t="shared" si="6"/>
        <v>-</v>
      </c>
      <c r="T26" s="44">
        <f t="shared" si="7"/>
        <v>0</v>
      </c>
    </row>
    <row r="27" spans="1:20" ht="67.5" hidden="1" customHeight="1" outlineLevel="3" x14ac:dyDescent="0.25">
      <c r="A27" s="25"/>
      <c r="B27" s="134" t="s">
        <v>581</v>
      </c>
      <c r="C27" s="44">
        <f>SUM(D27:G27)</f>
        <v>4476</v>
      </c>
      <c r="D27" s="45">
        <v>4476</v>
      </c>
      <c r="E27" s="135">
        <v>0</v>
      </c>
      <c r="F27" s="135">
        <v>0</v>
      </c>
      <c r="G27" s="135">
        <v>0</v>
      </c>
      <c r="H27" s="44">
        <f>SUM(I27:L27)</f>
        <v>783</v>
      </c>
      <c r="I27" s="45">
        <v>783</v>
      </c>
      <c r="J27" s="135">
        <v>0</v>
      </c>
      <c r="K27" s="73">
        <v>0</v>
      </c>
      <c r="L27" s="73">
        <v>0</v>
      </c>
      <c r="M27" s="44">
        <f t="shared" si="0"/>
        <v>17.5</v>
      </c>
      <c r="N27" s="44">
        <v>0</v>
      </c>
      <c r="O27" s="44">
        <f t="shared" si="2"/>
        <v>17.5</v>
      </c>
      <c r="P27" s="44">
        <v>0</v>
      </c>
      <c r="Q27" s="44" t="str">
        <f t="shared" si="4"/>
        <v>-</v>
      </c>
      <c r="R27" s="44">
        <f t="shared" si="5"/>
        <v>0</v>
      </c>
      <c r="S27" s="44" t="str">
        <f t="shared" si="6"/>
        <v>-</v>
      </c>
      <c r="T27" s="44">
        <f t="shared" si="7"/>
        <v>0</v>
      </c>
    </row>
    <row r="28" spans="1:20" ht="27" hidden="1" outlineLevel="2" x14ac:dyDescent="0.25">
      <c r="A28" s="25"/>
      <c r="B28" s="136" t="s">
        <v>580</v>
      </c>
      <c r="C28" s="44">
        <f>SUM(D28:F28)</f>
        <v>10675.2</v>
      </c>
      <c r="D28" s="45">
        <f>D29+D30</f>
        <v>6876.5</v>
      </c>
      <c r="E28" s="45">
        <f>E29+E30</f>
        <v>3798.7</v>
      </c>
      <c r="F28" s="45">
        <f>F29+F30</f>
        <v>0</v>
      </c>
      <c r="G28" s="45">
        <f>G29+G30</f>
        <v>0</v>
      </c>
      <c r="H28" s="44">
        <f>SUM(I28:L28)</f>
        <v>10675.2</v>
      </c>
      <c r="I28" s="45">
        <f>I29+I30</f>
        <v>6876.5</v>
      </c>
      <c r="J28" s="45">
        <f>J29+J30</f>
        <v>3798.7</v>
      </c>
      <c r="K28" s="45">
        <f>K29+K30</f>
        <v>0</v>
      </c>
      <c r="L28" s="73">
        <v>0</v>
      </c>
      <c r="M28" s="44">
        <f t="shared" si="0"/>
        <v>100</v>
      </c>
      <c r="N28" s="44">
        <f t="shared" si="1"/>
        <v>0</v>
      </c>
      <c r="O28" s="44">
        <f t="shared" si="2"/>
        <v>100</v>
      </c>
      <c r="P28" s="44">
        <f t="shared" si="3"/>
        <v>0</v>
      </c>
      <c r="Q28" s="44">
        <f t="shared" si="4"/>
        <v>100</v>
      </c>
      <c r="R28" s="44">
        <f t="shared" si="5"/>
        <v>0</v>
      </c>
      <c r="S28" s="44" t="str">
        <f t="shared" si="6"/>
        <v>-</v>
      </c>
      <c r="T28" s="44">
        <f t="shared" si="7"/>
        <v>0</v>
      </c>
    </row>
    <row r="29" spans="1:20" ht="27" hidden="1" outlineLevel="5" x14ac:dyDescent="0.25">
      <c r="A29" s="25"/>
      <c r="B29" s="134" t="s">
        <v>8</v>
      </c>
      <c r="C29" s="44">
        <f t="shared" ref="C29:C72" si="11">SUM(D29:F29)</f>
        <v>7082.2</v>
      </c>
      <c r="D29" s="45">
        <v>3283.5</v>
      </c>
      <c r="E29" s="135">
        <v>3798.7</v>
      </c>
      <c r="F29" s="135">
        <v>0</v>
      </c>
      <c r="G29" s="135">
        <v>0</v>
      </c>
      <c r="H29" s="44">
        <f>SUM(I29:L29)</f>
        <v>7082.2</v>
      </c>
      <c r="I29" s="45">
        <v>3283.5</v>
      </c>
      <c r="J29" s="135">
        <v>3798.7</v>
      </c>
      <c r="K29" s="73">
        <v>0</v>
      </c>
      <c r="L29" s="73">
        <v>0</v>
      </c>
      <c r="M29" s="44">
        <f t="shared" si="0"/>
        <v>100</v>
      </c>
      <c r="N29" s="44">
        <f t="shared" si="1"/>
        <v>0</v>
      </c>
      <c r="O29" s="44">
        <f t="shared" si="2"/>
        <v>100</v>
      </c>
      <c r="P29" s="44">
        <f t="shared" si="3"/>
        <v>0</v>
      </c>
      <c r="Q29" s="44">
        <f t="shared" si="4"/>
        <v>100</v>
      </c>
      <c r="R29" s="44">
        <f t="shared" si="5"/>
        <v>0</v>
      </c>
      <c r="S29" s="44" t="str">
        <f t="shared" si="6"/>
        <v>-</v>
      </c>
      <c r="T29" s="44">
        <f t="shared" si="7"/>
        <v>0</v>
      </c>
    </row>
    <row r="30" spans="1:20" ht="13.5" hidden="1" customHeight="1" outlineLevel="5" x14ac:dyDescent="0.25">
      <c r="A30" s="25"/>
      <c r="B30" s="134" t="s">
        <v>285</v>
      </c>
      <c r="C30" s="44">
        <f>SUM(D30:F30)</f>
        <v>3593</v>
      </c>
      <c r="D30" s="45">
        <v>3593</v>
      </c>
      <c r="E30" s="135">
        <v>0</v>
      </c>
      <c r="F30" s="135">
        <v>0</v>
      </c>
      <c r="G30" s="135"/>
      <c r="H30" s="44">
        <f>SUM(I30:L30)</f>
        <v>3593</v>
      </c>
      <c r="I30" s="45">
        <v>3593</v>
      </c>
      <c r="J30" s="135">
        <v>0</v>
      </c>
      <c r="K30" s="73">
        <v>0</v>
      </c>
      <c r="L30" s="73"/>
      <c r="M30" s="44">
        <f t="shared" si="0"/>
        <v>100</v>
      </c>
      <c r="N30" s="44">
        <f t="shared" si="1"/>
        <v>0</v>
      </c>
      <c r="O30" s="44">
        <f t="shared" si="2"/>
        <v>100</v>
      </c>
      <c r="P30" s="44">
        <f t="shared" si="3"/>
        <v>0</v>
      </c>
      <c r="Q30" s="44" t="str">
        <f t="shared" si="4"/>
        <v>-</v>
      </c>
      <c r="R30" s="44">
        <f t="shared" si="5"/>
        <v>0</v>
      </c>
      <c r="S30" s="44" t="str">
        <f t="shared" si="6"/>
        <v>-</v>
      </c>
      <c r="T30" s="44">
        <f t="shared" si="7"/>
        <v>0</v>
      </c>
    </row>
    <row r="31" spans="1:20" ht="40.5" hidden="1" customHeight="1" outlineLevel="1" x14ac:dyDescent="0.25">
      <c r="A31" s="25"/>
      <c r="B31" s="81" t="s">
        <v>185</v>
      </c>
      <c r="C31" s="59">
        <f t="shared" si="11"/>
        <v>5926.4</v>
      </c>
      <c r="D31" s="138">
        <f>D32</f>
        <v>5521.4</v>
      </c>
      <c r="E31" s="138">
        <f>E32</f>
        <v>405</v>
      </c>
      <c r="F31" s="138">
        <f>F32</f>
        <v>0</v>
      </c>
      <c r="G31" s="138">
        <f>G32</f>
        <v>0</v>
      </c>
      <c r="H31" s="59">
        <f t="shared" si="9"/>
        <v>5926.4</v>
      </c>
      <c r="I31" s="138">
        <f>I32</f>
        <v>5521.4</v>
      </c>
      <c r="J31" s="138">
        <f>J32</f>
        <v>405</v>
      </c>
      <c r="K31" s="138">
        <f>K32</f>
        <v>0</v>
      </c>
      <c r="L31" s="138">
        <f>L32</f>
        <v>0</v>
      </c>
      <c r="M31" s="139">
        <f t="shared" si="0"/>
        <v>100</v>
      </c>
      <c r="N31" s="139">
        <f t="shared" si="1"/>
        <v>0</v>
      </c>
      <c r="O31" s="139">
        <f t="shared" si="2"/>
        <v>100</v>
      </c>
      <c r="P31" s="139">
        <f t="shared" si="3"/>
        <v>0</v>
      </c>
      <c r="Q31" s="139">
        <f t="shared" si="4"/>
        <v>100</v>
      </c>
      <c r="R31" s="139">
        <f t="shared" si="5"/>
        <v>0</v>
      </c>
      <c r="S31" s="139" t="str">
        <f t="shared" si="6"/>
        <v>-</v>
      </c>
      <c r="T31" s="139">
        <f t="shared" si="7"/>
        <v>0</v>
      </c>
    </row>
    <row r="32" spans="1:20" ht="27" hidden="1" outlineLevel="2" collapsed="1" x14ac:dyDescent="0.25">
      <c r="A32" s="25"/>
      <c r="B32" s="136" t="s">
        <v>583</v>
      </c>
      <c r="C32" s="44">
        <f t="shared" si="11"/>
        <v>5926.4</v>
      </c>
      <c r="D32" s="45">
        <f>D33+D34+D35</f>
        <v>5521.4</v>
      </c>
      <c r="E32" s="45">
        <f>E33+E34+E35</f>
        <v>405</v>
      </c>
      <c r="F32" s="45">
        <f>F33+F34+F35</f>
        <v>0</v>
      </c>
      <c r="G32" s="45">
        <f>G33+G34+G35</f>
        <v>0</v>
      </c>
      <c r="H32" s="44">
        <f>SUM(I32:K32)</f>
        <v>5926.4</v>
      </c>
      <c r="I32" s="73">
        <f>I33+I34+I35</f>
        <v>5521.4</v>
      </c>
      <c r="J32" s="73">
        <f>J33+J34+J35</f>
        <v>405</v>
      </c>
      <c r="K32" s="73">
        <f>K33+K34+K35</f>
        <v>0</v>
      </c>
      <c r="L32" s="73">
        <f>L33+L34+L35</f>
        <v>0</v>
      </c>
      <c r="M32" s="44">
        <f t="shared" si="0"/>
        <v>100</v>
      </c>
      <c r="N32" s="44">
        <f>C32-H32</f>
        <v>0</v>
      </c>
      <c r="O32" s="44">
        <f t="shared" si="2"/>
        <v>100</v>
      </c>
      <c r="P32" s="44">
        <f t="shared" si="3"/>
        <v>0</v>
      </c>
      <c r="Q32" s="44">
        <f t="shared" si="4"/>
        <v>100</v>
      </c>
      <c r="R32" s="44">
        <f t="shared" si="5"/>
        <v>0</v>
      </c>
      <c r="S32" s="44" t="str">
        <f t="shared" si="6"/>
        <v>-</v>
      </c>
      <c r="T32" s="44">
        <f>F32-K32</f>
        <v>0</v>
      </c>
    </row>
    <row r="33" spans="1:20" ht="27" hidden="1" customHeight="1" outlineLevel="2" x14ac:dyDescent="0.25">
      <c r="A33" s="25"/>
      <c r="B33" s="134" t="s">
        <v>286</v>
      </c>
      <c r="C33" s="44">
        <f t="shared" si="11"/>
        <v>4152</v>
      </c>
      <c r="D33" s="45">
        <v>4152</v>
      </c>
      <c r="E33" s="135">
        <v>0</v>
      </c>
      <c r="F33" s="135">
        <v>0</v>
      </c>
      <c r="G33" s="135"/>
      <c r="H33" s="44">
        <f t="shared" si="9"/>
        <v>4152</v>
      </c>
      <c r="I33" s="73">
        <v>4152</v>
      </c>
      <c r="J33" s="73">
        <v>0</v>
      </c>
      <c r="K33" s="73">
        <v>0</v>
      </c>
      <c r="L33" s="73"/>
      <c r="M33" s="44">
        <f t="shared" si="0"/>
        <v>100</v>
      </c>
      <c r="N33" s="44">
        <f>C33-H33</f>
        <v>0</v>
      </c>
      <c r="O33" s="44">
        <f t="shared" si="2"/>
        <v>100</v>
      </c>
      <c r="P33" s="44">
        <f t="shared" si="3"/>
        <v>0</v>
      </c>
      <c r="Q33" s="44" t="str">
        <f t="shared" si="4"/>
        <v>-</v>
      </c>
      <c r="R33" s="44">
        <f t="shared" si="5"/>
        <v>0</v>
      </c>
      <c r="S33" s="44" t="str">
        <f t="shared" si="6"/>
        <v>-</v>
      </c>
      <c r="T33" s="5">
        <f>F33-K33</f>
        <v>0</v>
      </c>
    </row>
    <row r="34" spans="1:20" ht="13.5" hidden="1" customHeight="1" outlineLevel="2" x14ac:dyDescent="0.25">
      <c r="A34" s="25"/>
      <c r="B34" s="134" t="s">
        <v>7</v>
      </c>
      <c r="C34" s="44">
        <f t="shared" si="11"/>
        <v>1074.7</v>
      </c>
      <c r="D34" s="45">
        <v>669.7</v>
      </c>
      <c r="E34" s="135">
        <v>405</v>
      </c>
      <c r="F34" s="135">
        <v>0</v>
      </c>
      <c r="G34" s="135"/>
      <c r="H34" s="44">
        <f t="shared" si="9"/>
        <v>1074.7</v>
      </c>
      <c r="I34" s="73">
        <v>669.7</v>
      </c>
      <c r="J34" s="73">
        <v>405</v>
      </c>
      <c r="K34" s="73">
        <v>0</v>
      </c>
      <c r="L34" s="73"/>
      <c r="M34" s="44">
        <f t="shared" si="0"/>
        <v>100</v>
      </c>
      <c r="N34" s="44">
        <f>C34-H34</f>
        <v>0</v>
      </c>
      <c r="O34" s="44">
        <f t="shared" si="2"/>
        <v>100</v>
      </c>
      <c r="P34" s="44">
        <f t="shared" si="3"/>
        <v>0</v>
      </c>
      <c r="Q34" s="44">
        <f t="shared" si="4"/>
        <v>100</v>
      </c>
      <c r="R34" s="44">
        <f t="shared" si="5"/>
        <v>0</v>
      </c>
      <c r="S34" s="44" t="str">
        <f t="shared" si="6"/>
        <v>-</v>
      </c>
      <c r="T34" s="44">
        <f>F34-K34</f>
        <v>0</v>
      </c>
    </row>
    <row r="35" spans="1:20" ht="27" hidden="1" customHeight="1" outlineLevel="2" x14ac:dyDescent="0.25">
      <c r="A35" s="25"/>
      <c r="B35" s="134" t="s">
        <v>287</v>
      </c>
      <c r="C35" s="44">
        <f t="shared" si="11"/>
        <v>699.7</v>
      </c>
      <c r="D35" s="45">
        <v>699.7</v>
      </c>
      <c r="E35" s="135"/>
      <c r="F35" s="135">
        <v>0</v>
      </c>
      <c r="G35" s="135"/>
      <c r="H35" s="44">
        <f t="shared" si="9"/>
        <v>699.7</v>
      </c>
      <c r="I35" s="73">
        <v>699.7</v>
      </c>
      <c r="J35" s="73">
        <v>0</v>
      </c>
      <c r="K35" s="73">
        <v>0</v>
      </c>
      <c r="L35" s="73"/>
      <c r="M35" s="44">
        <f t="shared" si="0"/>
        <v>100</v>
      </c>
      <c r="N35" s="44">
        <f>C35-H35</f>
        <v>0</v>
      </c>
      <c r="O35" s="44">
        <f t="shared" si="2"/>
        <v>100</v>
      </c>
      <c r="P35" s="44">
        <f t="shared" si="3"/>
        <v>0</v>
      </c>
      <c r="Q35" s="44" t="str">
        <f t="shared" si="4"/>
        <v>-</v>
      </c>
      <c r="R35" s="44">
        <f t="shared" si="5"/>
        <v>0</v>
      </c>
      <c r="S35" s="44" t="str">
        <f t="shared" si="6"/>
        <v>-</v>
      </c>
      <c r="T35" s="5">
        <f>F35-K35</f>
        <v>0</v>
      </c>
    </row>
    <row r="36" spans="1:20" ht="27" hidden="1" customHeight="1" outlineLevel="1" x14ac:dyDescent="0.25">
      <c r="A36" s="25"/>
      <c r="B36" s="81" t="s">
        <v>189</v>
      </c>
      <c r="C36" s="59">
        <f>SUM(D36:G36)</f>
        <v>113665.1</v>
      </c>
      <c r="D36" s="138">
        <f>D37+D42+D38</f>
        <v>84749.5</v>
      </c>
      <c r="E36" s="138">
        <f>E37+E42</f>
        <v>28860.6</v>
      </c>
      <c r="F36" s="138">
        <f>F37+F42</f>
        <v>0</v>
      </c>
      <c r="G36" s="138">
        <f>G37+G42</f>
        <v>55</v>
      </c>
      <c r="H36" s="59">
        <f t="shared" si="9"/>
        <v>81267.899999999994</v>
      </c>
      <c r="I36" s="138">
        <f>I37+I42+I38</f>
        <v>81267.899999999994</v>
      </c>
      <c r="J36" s="138">
        <f>J37+J42</f>
        <v>0</v>
      </c>
      <c r="K36" s="138">
        <f>K37+K42</f>
        <v>0</v>
      </c>
      <c r="L36" s="138">
        <f>L37+L42</f>
        <v>55</v>
      </c>
      <c r="M36" s="139">
        <f t="shared" si="0"/>
        <v>71.5</v>
      </c>
      <c r="N36" s="139">
        <f t="shared" si="1"/>
        <v>32397.200000000001</v>
      </c>
      <c r="O36" s="139">
        <f t="shared" si="2"/>
        <v>95.9</v>
      </c>
      <c r="P36" s="139">
        <f t="shared" si="3"/>
        <v>3481.6</v>
      </c>
      <c r="Q36" s="44">
        <f t="shared" si="4"/>
        <v>0</v>
      </c>
      <c r="R36" s="139">
        <f t="shared" si="5"/>
        <v>28860.6</v>
      </c>
      <c r="S36" s="139" t="str">
        <f t="shared" si="6"/>
        <v>-</v>
      </c>
      <c r="T36" s="139">
        <f t="shared" si="7"/>
        <v>0</v>
      </c>
    </row>
    <row r="37" spans="1:20" ht="27" hidden="1" customHeight="1" outlineLevel="2" x14ac:dyDescent="0.25">
      <c r="A37" s="25"/>
      <c r="B37" s="136" t="s">
        <v>584</v>
      </c>
      <c r="C37" s="44">
        <f>SUM(D37:F37)</f>
        <v>69605.100000000006</v>
      </c>
      <c r="D37" s="45">
        <v>69605.100000000006</v>
      </c>
      <c r="E37" s="73">
        <v>0</v>
      </c>
      <c r="F37" s="135">
        <v>0</v>
      </c>
      <c r="G37" s="135">
        <v>55</v>
      </c>
      <c r="H37" s="44">
        <f t="shared" ref="H37:H43" si="12">SUM(I37:K37)</f>
        <v>69362.3</v>
      </c>
      <c r="I37" s="73">
        <v>69362.3</v>
      </c>
      <c r="J37" s="73">
        <v>0</v>
      </c>
      <c r="K37" s="73">
        <v>0</v>
      </c>
      <c r="L37" s="73">
        <v>55</v>
      </c>
      <c r="M37" s="44">
        <f t="shared" ref="M37:M43" si="13">IFERROR(H37/C37*100,"-")</f>
        <v>99.7</v>
      </c>
      <c r="N37" s="44">
        <f t="shared" ref="N37:N43" si="14">C37-H37</f>
        <v>242.8</v>
      </c>
      <c r="O37" s="44">
        <f t="shared" ref="O37:O43" si="15">IFERROR(I37/D37*100,"-")</f>
        <v>99.7</v>
      </c>
      <c r="P37" s="44">
        <f>D37-I37</f>
        <v>242.8</v>
      </c>
      <c r="Q37" s="44" t="str">
        <f>IFERROR(J37/E37*100,"-")</f>
        <v>-</v>
      </c>
      <c r="R37" s="44">
        <f t="shared" si="5"/>
        <v>0</v>
      </c>
      <c r="S37" s="44" t="str">
        <f t="shared" ref="S37:S43" si="16">IFERROR(K37/F37*100,"-")</f>
        <v>-</v>
      </c>
      <c r="T37" s="44">
        <f t="shared" ref="T37:T43" si="17">F37-K37</f>
        <v>0</v>
      </c>
    </row>
    <row r="38" spans="1:20" ht="40.5" hidden="1" outlineLevel="2" x14ac:dyDescent="0.25">
      <c r="A38" s="137"/>
      <c r="B38" s="136" t="s">
        <v>588</v>
      </c>
      <c r="C38" s="44">
        <f t="shared" ref="C38:C44" si="18">SUM(D38:F38)</f>
        <v>11937.7</v>
      </c>
      <c r="D38" s="45">
        <f>D39+D40+D41</f>
        <v>11937.7</v>
      </c>
      <c r="E38" s="45">
        <f>E39+E40+E41</f>
        <v>0</v>
      </c>
      <c r="F38" s="45">
        <f>F39+F40+F41</f>
        <v>0</v>
      </c>
      <c r="G38" s="45">
        <f>G39+G40+G41</f>
        <v>0</v>
      </c>
      <c r="H38" s="44">
        <f t="shared" si="12"/>
        <v>11905.6</v>
      </c>
      <c r="I38" s="73">
        <f>I39+I40+I41</f>
        <v>11905.6</v>
      </c>
      <c r="J38" s="73">
        <f>J39+J40+J41</f>
        <v>0</v>
      </c>
      <c r="K38" s="73">
        <f>K39+K40+K41</f>
        <v>0</v>
      </c>
      <c r="L38" s="73">
        <f>L39+L40+L41</f>
        <v>0</v>
      </c>
      <c r="M38" s="44">
        <f t="shared" si="13"/>
        <v>99.7</v>
      </c>
      <c r="N38" s="44">
        <f t="shared" si="14"/>
        <v>32.1</v>
      </c>
      <c r="O38" s="44">
        <f t="shared" si="15"/>
        <v>99.7</v>
      </c>
      <c r="P38" s="44">
        <f>D38-I38</f>
        <v>32.1</v>
      </c>
      <c r="Q38" s="44" t="str">
        <f t="shared" si="4"/>
        <v>-</v>
      </c>
      <c r="R38" s="44">
        <f t="shared" si="5"/>
        <v>0</v>
      </c>
      <c r="S38" s="44" t="str">
        <f t="shared" si="16"/>
        <v>-</v>
      </c>
      <c r="T38" s="44">
        <f t="shared" si="17"/>
        <v>0</v>
      </c>
    </row>
    <row r="39" spans="1:20" ht="13.5" hidden="1" customHeight="1" outlineLevel="3" x14ac:dyDescent="0.25">
      <c r="A39" s="137"/>
      <c r="B39" s="136" t="s">
        <v>585</v>
      </c>
      <c r="C39" s="44">
        <f t="shared" si="18"/>
        <v>1642.7</v>
      </c>
      <c r="D39" s="45">
        <v>1642.7</v>
      </c>
      <c r="E39" s="73">
        <v>0</v>
      </c>
      <c r="F39" s="73">
        <v>0</v>
      </c>
      <c r="G39" s="73">
        <v>0</v>
      </c>
      <c r="H39" s="44">
        <f t="shared" si="12"/>
        <v>1642.7</v>
      </c>
      <c r="I39" s="73">
        <v>1642.7</v>
      </c>
      <c r="J39" s="73">
        <v>0</v>
      </c>
      <c r="K39" s="73">
        <v>0</v>
      </c>
      <c r="L39" s="73">
        <v>0</v>
      </c>
      <c r="M39" s="44">
        <f t="shared" si="13"/>
        <v>100</v>
      </c>
      <c r="N39" s="44">
        <f t="shared" si="14"/>
        <v>0</v>
      </c>
      <c r="O39" s="44">
        <f t="shared" si="15"/>
        <v>100</v>
      </c>
      <c r="P39" s="44">
        <f>D39-I39</f>
        <v>0</v>
      </c>
      <c r="Q39" s="44" t="str">
        <f t="shared" si="4"/>
        <v>-</v>
      </c>
      <c r="R39" s="44">
        <f t="shared" si="5"/>
        <v>0</v>
      </c>
      <c r="S39" s="44" t="str">
        <f t="shared" si="16"/>
        <v>-</v>
      </c>
      <c r="T39" s="44">
        <f t="shared" si="17"/>
        <v>0</v>
      </c>
    </row>
    <row r="40" spans="1:20" ht="13.5" hidden="1" customHeight="1" outlineLevel="3" x14ac:dyDescent="0.25">
      <c r="A40" s="137"/>
      <c r="B40" s="136" t="s">
        <v>586</v>
      </c>
      <c r="C40" s="44">
        <f t="shared" si="18"/>
        <v>1979</v>
      </c>
      <c r="D40" s="45">
        <v>1979</v>
      </c>
      <c r="E40" s="73">
        <v>0</v>
      </c>
      <c r="F40" s="73">
        <v>0</v>
      </c>
      <c r="G40" s="73">
        <v>0</v>
      </c>
      <c r="H40" s="44">
        <f t="shared" si="12"/>
        <v>1979</v>
      </c>
      <c r="I40" s="73">
        <v>1979</v>
      </c>
      <c r="J40" s="73">
        <v>0</v>
      </c>
      <c r="K40" s="73">
        <v>0</v>
      </c>
      <c r="L40" s="73">
        <v>0</v>
      </c>
      <c r="M40" s="44">
        <f t="shared" si="13"/>
        <v>100</v>
      </c>
      <c r="N40" s="44">
        <f t="shared" si="14"/>
        <v>0</v>
      </c>
      <c r="O40" s="44">
        <f t="shared" si="15"/>
        <v>100</v>
      </c>
      <c r="P40" s="44">
        <f>D40-I40</f>
        <v>0</v>
      </c>
      <c r="Q40" s="44" t="str">
        <f t="shared" si="4"/>
        <v>-</v>
      </c>
      <c r="R40" s="44">
        <f t="shared" si="5"/>
        <v>0</v>
      </c>
      <c r="S40" s="44" t="str">
        <f t="shared" si="16"/>
        <v>-</v>
      </c>
      <c r="T40" s="44">
        <f t="shared" si="17"/>
        <v>0</v>
      </c>
    </row>
    <row r="41" spans="1:20" ht="13.5" hidden="1" customHeight="1" outlineLevel="3" x14ac:dyDescent="0.25">
      <c r="A41" s="137"/>
      <c r="B41" s="136" t="s">
        <v>587</v>
      </c>
      <c r="C41" s="44">
        <f t="shared" si="18"/>
        <v>8316</v>
      </c>
      <c r="D41" s="45">
        <v>8316</v>
      </c>
      <c r="E41" s="73">
        <v>0</v>
      </c>
      <c r="F41" s="73">
        <v>0</v>
      </c>
      <c r="G41" s="73">
        <v>0</v>
      </c>
      <c r="H41" s="44">
        <f t="shared" si="12"/>
        <v>8283.9</v>
      </c>
      <c r="I41" s="73">
        <v>8283.9</v>
      </c>
      <c r="J41" s="73">
        <v>0</v>
      </c>
      <c r="K41" s="73">
        <v>0</v>
      </c>
      <c r="L41" s="73">
        <v>0</v>
      </c>
      <c r="M41" s="44">
        <f t="shared" si="13"/>
        <v>99.6</v>
      </c>
      <c r="N41" s="44">
        <f t="shared" si="14"/>
        <v>32.1</v>
      </c>
      <c r="O41" s="44">
        <f t="shared" si="15"/>
        <v>99.6</v>
      </c>
      <c r="P41" s="44">
        <f>D41-I41</f>
        <v>32.1</v>
      </c>
      <c r="Q41" s="44" t="str">
        <f t="shared" si="4"/>
        <v>-</v>
      </c>
      <c r="R41" s="44">
        <f t="shared" si="5"/>
        <v>0</v>
      </c>
      <c r="S41" s="44" t="str">
        <f t="shared" si="16"/>
        <v>-</v>
      </c>
      <c r="T41" s="44">
        <f t="shared" si="17"/>
        <v>0</v>
      </c>
    </row>
    <row r="42" spans="1:20" ht="27" hidden="1" customHeight="1" outlineLevel="2" x14ac:dyDescent="0.25">
      <c r="A42" s="25"/>
      <c r="B42" s="136" t="s">
        <v>589</v>
      </c>
      <c r="C42" s="44">
        <f>SUM(D42:F42)</f>
        <v>32067.3</v>
      </c>
      <c r="D42" s="45">
        <f>D43</f>
        <v>3206.7</v>
      </c>
      <c r="E42" s="45">
        <f>E43</f>
        <v>28860.6</v>
      </c>
      <c r="F42" s="45">
        <f>F43</f>
        <v>0</v>
      </c>
      <c r="G42" s="45">
        <f>G43</f>
        <v>0</v>
      </c>
      <c r="H42" s="44">
        <f t="shared" si="12"/>
        <v>0</v>
      </c>
      <c r="I42" s="73">
        <f>I43</f>
        <v>0</v>
      </c>
      <c r="J42" s="73">
        <f>J43</f>
        <v>0</v>
      </c>
      <c r="K42" s="73">
        <f>K43</f>
        <v>0</v>
      </c>
      <c r="L42" s="73">
        <f>L43</f>
        <v>0</v>
      </c>
      <c r="M42" s="44">
        <f t="shared" si="13"/>
        <v>0</v>
      </c>
      <c r="N42" s="44">
        <f t="shared" si="14"/>
        <v>32067.3</v>
      </c>
      <c r="O42" s="44">
        <f t="shared" si="15"/>
        <v>0</v>
      </c>
      <c r="P42" s="44">
        <f t="shared" si="3"/>
        <v>3206.7</v>
      </c>
      <c r="Q42" s="44">
        <f t="shared" si="4"/>
        <v>0</v>
      </c>
      <c r="R42" s="44">
        <f t="shared" si="5"/>
        <v>28860.6</v>
      </c>
      <c r="S42" s="44" t="str">
        <f t="shared" si="16"/>
        <v>-</v>
      </c>
      <c r="T42" s="44">
        <f t="shared" si="17"/>
        <v>0</v>
      </c>
    </row>
    <row r="43" spans="1:20" ht="13.5" hidden="1" customHeight="1" outlineLevel="3" x14ac:dyDescent="0.25">
      <c r="A43" s="25"/>
      <c r="B43" s="134" t="s">
        <v>439</v>
      </c>
      <c r="C43" s="44">
        <f>SUM(D43:F43)</f>
        <v>32067.3</v>
      </c>
      <c r="D43" s="45">
        <v>3206.7</v>
      </c>
      <c r="E43" s="73">
        <v>28860.6</v>
      </c>
      <c r="F43" s="135"/>
      <c r="G43" s="135"/>
      <c r="H43" s="44">
        <f t="shared" si="12"/>
        <v>0</v>
      </c>
      <c r="I43" s="73">
        <v>0</v>
      </c>
      <c r="J43" s="73">
        <v>0</v>
      </c>
      <c r="K43" s="73">
        <v>0</v>
      </c>
      <c r="L43" s="73"/>
      <c r="M43" s="44">
        <f t="shared" si="13"/>
        <v>0</v>
      </c>
      <c r="N43" s="44">
        <f t="shared" si="14"/>
        <v>32067.3</v>
      </c>
      <c r="O43" s="44">
        <f t="shared" si="15"/>
        <v>0</v>
      </c>
      <c r="P43" s="44">
        <f t="shared" si="3"/>
        <v>3206.7</v>
      </c>
      <c r="Q43" s="44">
        <f t="shared" si="4"/>
        <v>0</v>
      </c>
      <c r="R43" s="44">
        <f t="shared" si="5"/>
        <v>28860.6</v>
      </c>
      <c r="S43" s="44" t="str">
        <f t="shared" si="16"/>
        <v>-</v>
      </c>
      <c r="T43" s="44">
        <f t="shared" si="17"/>
        <v>0</v>
      </c>
    </row>
    <row r="44" spans="1:20" s="22" customFormat="1" ht="40.5" hidden="1" customHeight="1" outlineLevel="1" x14ac:dyDescent="0.25">
      <c r="A44" s="25"/>
      <c r="B44" s="81" t="s">
        <v>190</v>
      </c>
      <c r="C44" s="54">
        <f t="shared" si="18"/>
        <v>431</v>
      </c>
      <c r="D44" s="142">
        <f>SUM(D45:D45)</f>
        <v>431</v>
      </c>
      <c r="E44" s="142">
        <f>SUM(E45:E45)</f>
        <v>0</v>
      </c>
      <c r="F44" s="142">
        <f>SUM(F45:F45)</f>
        <v>0</v>
      </c>
      <c r="G44" s="142">
        <f>SUM(G45:G45)</f>
        <v>0</v>
      </c>
      <c r="H44" s="59">
        <f t="shared" si="9"/>
        <v>431</v>
      </c>
      <c r="I44" s="142">
        <f>SUM(I45:I45)</f>
        <v>431</v>
      </c>
      <c r="J44" s="142">
        <f>SUM(J45:J45)</f>
        <v>0</v>
      </c>
      <c r="K44" s="142">
        <f>SUM(K45:K45)</f>
        <v>0</v>
      </c>
      <c r="L44" s="142">
        <f>SUM(L45:L45)</f>
        <v>0</v>
      </c>
      <c r="M44" s="59">
        <f t="shared" si="0"/>
        <v>100</v>
      </c>
      <c r="N44" s="59">
        <f t="shared" si="1"/>
        <v>0</v>
      </c>
      <c r="O44" s="59">
        <f t="shared" si="2"/>
        <v>100</v>
      </c>
      <c r="P44" s="59">
        <f t="shared" si="3"/>
        <v>0</v>
      </c>
      <c r="Q44" s="59" t="str">
        <f t="shared" si="4"/>
        <v>-</v>
      </c>
      <c r="R44" s="59">
        <f t="shared" si="5"/>
        <v>0</v>
      </c>
      <c r="S44" s="59" t="str">
        <f t="shared" si="6"/>
        <v>-</v>
      </c>
      <c r="T44" s="59">
        <f t="shared" si="7"/>
        <v>0</v>
      </c>
    </row>
    <row r="45" spans="1:20" ht="27" hidden="1" customHeight="1" outlineLevel="2" x14ac:dyDescent="0.25">
      <c r="A45" s="4"/>
      <c r="B45" s="140" t="s">
        <v>590</v>
      </c>
      <c r="C45" s="44">
        <f t="shared" si="11"/>
        <v>431</v>
      </c>
      <c r="D45" s="45">
        <v>431</v>
      </c>
      <c r="E45" s="73">
        <v>0</v>
      </c>
      <c r="F45" s="73">
        <v>0</v>
      </c>
      <c r="G45" s="73">
        <v>0</v>
      </c>
      <c r="H45" s="44">
        <f t="shared" si="9"/>
        <v>431</v>
      </c>
      <c r="I45" s="73">
        <v>431</v>
      </c>
      <c r="J45" s="73">
        <v>0</v>
      </c>
      <c r="K45" s="73">
        <v>0</v>
      </c>
      <c r="L45" s="73">
        <v>0</v>
      </c>
      <c r="M45" s="44">
        <f>IFERROR(H45/C45*100,"-")</f>
        <v>100</v>
      </c>
      <c r="N45" s="44">
        <f>C45-H45</f>
        <v>0</v>
      </c>
      <c r="O45" s="44">
        <f>IFERROR(I45/D45*100,"-")</f>
        <v>100</v>
      </c>
      <c r="P45" s="44">
        <f t="shared" si="3"/>
        <v>0</v>
      </c>
      <c r="Q45" s="44" t="str">
        <f>IFERROR(J45/E45*100,"-")</f>
        <v>-</v>
      </c>
      <c r="R45" s="44">
        <f t="shared" si="5"/>
        <v>0</v>
      </c>
      <c r="S45" s="44" t="str">
        <f>IFERROR(K45/F45*100,"-")</f>
        <v>-</v>
      </c>
      <c r="T45" s="44">
        <f t="shared" si="7"/>
        <v>0</v>
      </c>
    </row>
    <row r="46" spans="1:20" s="23" customFormat="1" ht="45" customHeight="1" collapsed="1" x14ac:dyDescent="0.25">
      <c r="A46" s="40">
        <v>3</v>
      </c>
      <c r="B46" s="41" t="s">
        <v>13</v>
      </c>
      <c r="C46" s="42">
        <f>SUM(D46:F46)</f>
        <v>66306.899999999994</v>
      </c>
      <c r="D46" s="42">
        <f>D47+D56+D58</f>
        <v>20048.900000000001</v>
      </c>
      <c r="E46" s="42">
        <f>E47+E56+E58</f>
        <v>46258</v>
      </c>
      <c r="F46" s="42">
        <f>F47+F56+F58</f>
        <v>0</v>
      </c>
      <c r="G46" s="42">
        <f>G47+G56+G58</f>
        <v>0</v>
      </c>
      <c r="H46" s="42">
        <f>SUM(I46:K46)</f>
        <v>59945.2</v>
      </c>
      <c r="I46" s="42">
        <f>I47+I56+I58</f>
        <v>19891.400000000001</v>
      </c>
      <c r="J46" s="42">
        <f>J47+J56+J58</f>
        <v>40053.800000000003</v>
      </c>
      <c r="K46" s="42">
        <f>K47+K56+K58</f>
        <v>0</v>
      </c>
      <c r="L46" s="42">
        <f>L47+L56+L58</f>
        <v>0</v>
      </c>
      <c r="M46" s="42">
        <f t="shared" si="0"/>
        <v>90.4</v>
      </c>
      <c r="N46" s="42">
        <f t="shared" si="1"/>
        <v>6361.7</v>
      </c>
      <c r="O46" s="42">
        <f t="shared" si="2"/>
        <v>99.2</v>
      </c>
      <c r="P46" s="42">
        <f t="shared" si="3"/>
        <v>157.5</v>
      </c>
      <c r="Q46" s="42">
        <f t="shared" si="4"/>
        <v>86.6</v>
      </c>
      <c r="R46" s="42">
        <f t="shared" si="5"/>
        <v>6204.2</v>
      </c>
      <c r="S46" s="42" t="str">
        <f t="shared" si="6"/>
        <v>-</v>
      </c>
      <c r="T46" s="42">
        <f t="shared" si="7"/>
        <v>0</v>
      </c>
    </row>
    <row r="47" spans="1:20" s="22" customFormat="1" ht="27" hidden="1" outlineLevel="1" x14ac:dyDescent="0.25">
      <c r="A47" s="26"/>
      <c r="B47" s="58" t="s">
        <v>192</v>
      </c>
      <c r="C47" s="59">
        <f>SUM(D47:F47)</f>
        <v>32371.4</v>
      </c>
      <c r="D47" s="59">
        <f>D48</f>
        <v>10136.700000000001</v>
      </c>
      <c r="E47" s="59">
        <f>E48</f>
        <v>22234.7</v>
      </c>
      <c r="F47" s="59">
        <f>F48</f>
        <v>0</v>
      </c>
      <c r="G47" s="59">
        <f>SUM(G48:G55)</f>
        <v>0</v>
      </c>
      <c r="H47" s="59">
        <f t="shared" si="9"/>
        <v>26079.9</v>
      </c>
      <c r="I47" s="59">
        <f>I48</f>
        <v>10049.4</v>
      </c>
      <c r="J47" s="59">
        <f>J48</f>
        <v>16030.5</v>
      </c>
      <c r="K47" s="59">
        <f>K48</f>
        <v>0</v>
      </c>
      <c r="L47" s="59">
        <f>SUM(L48:L55)</f>
        <v>0</v>
      </c>
      <c r="M47" s="59">
        <f t="shared" si="0"/>
        <v>80.599999999999994</v>
      </c>
      <c r="N47" s="59">
        <f t="shared" si="1"/>
        <v>6291.5</v>
      </c>
      <c r="O47" s="59">
        <f t="shared" si="2"/>
        <v>99.1</v>
      </c>
      <c r="P47" s="59">
        <f t="shared" si="3"/>
        <v>87.3</v>
      </c>
      <c r="Q47" s="59">
        <f t="shared" si="4"/>
        <v>72.099999999999994</v>
      </c>
      <c r="R47" s="59">
        <f t="shared" si="5"/>
        <v>6204.2</v>
      </c>
      <c r="S47" s="59" t="str">
        <f t="shared" si="6"/>
        <v>-</v>
      </c>
      <c r="T47" s="59">
        <f t="shared" si="7"/>
        <v>0</v>
      </c>
    </row>
    <row r="48" spans="1:20" ht="27" hidden="1" outlineLevel="2" x14ac:dyDescent="0.25">
      <c r="A48" s="28"/>
      <c r="B48" s="46" t="s">
        <v>601</v>
      </c>
      <c r="C48" s="44">
        <f t="shared" si="11"/>
        <v>32371.4</v>
      </c>
      <c r="D48" s="71">
        <f>SUM(D49:D55)</f>
        <v>10136.700000000001</v>
      </c>
      <c r="E48" s="71">
        <f>SUM(E50:E55)</f>
        <v>22234.7</v>
      </c>
      <c r="F48" s="71">
        <f>SUM(F50:F55)</f>
        <v>0</v>
      </c>
      <c r="G48" s="71">
        <f>SUM(G50:G55)</f>
        <v>0</v>
      </c>
      <c r="H48" s="71">
        <f t="shared" si="9"/>
        <v>26079.9</v>
      </c>
      <c r="I48" s="71">
        <f>SUM(I49:I55)</f>
        <v>10049.4</v>
      </c>
      <c r="J48" s="71">
        <f>SUM(J50:J55)</f>
        <v>16030.5</v>
      </c>
      <c r="K48" s="71">
        <f>SUM(K50:K55)</f>
        <v>0</v>
      </c>
      <c r="L48" s="44">
        <v>0</v>
      </c>
      <c r="M48" s="44">
        <f t="shared" si="0"/>
        <v>80.599999999999994</v>
      </c>
      <c r="N48" s="44">
        <f t="shared" si="1"/>
        <v>6291.5</v>
      </c>
      <c r="O48" s="44">
        <f t="shared" si="2"/>
        <v>99.1</v>
      </c>
      <c r="P48" s="44">
        <f t="shared" si="3"/>
        <v>87.3</v>
      </c>
      <c r="Q48" s="44">
        <f t="shared" si="4"/>
        <v>72.099999999999994</v>
      </c>
      <c r="R48" s="44">
        <f t="shared" si="5"/>
        <v>6204.2</v>
      </c>
      <c r="S48" s="44" t="str">
        <f t="shared" si="6"/>
        <v>-</v>
      </c>
      <c r="T48" s="44">
        <f t="shared" si="7"/>
        <v>0</v>
      </c>
    </row>
    <row r="49" spans="1:20" ht="27" hidden="1" customHeight="1" outlineLevel="2" x14ac:dyDescent="0.25">
      <c r="A49" s="47" t="s">
        <v>414</v>
      </c>
      <c r="B49" s="55" t="s">
        <v>306</v>
      </c>
      <c r="C49" s="44">
        <f t="shared" ref="C49:C55" si="19">SUM(D49:F49)</f>
        <v>945</v>
      </c>
      <c r="D49" s="44">
        <f>945</f>
        <v>945</v>
      </c>
      <c r="E49" s="44">
        <v>0</v>
      </c>
      <c r="F49" s="44">
        <v>0</v>
      </c>
      <c r="G49" s="44">
        <v>0</v>
      </c>
      <c r="H49" s="44">
        <f t="shared" ref="H49:H55" si="20">SUM(I49:K49)</f>
        <v>906.3</v>
      </c>
      <c r="I49" s="44">
        <f>906.3</f>
        <v>906.3</v>
      </c>
      <c r="J49" s="44">
        <v>0</v>
      </c>
      <c r="K49" s="44">
        <v>0</v>
      </c>
      <c r="L49" s="44">
        <v>0</v>
      </c>
      <c r="M49" s="44">
        <f t="shared" ref="M49:M55" si="21">IFERROR(H49/C49*100,"-")</f>
        <v>95.9</v>
      </c>
      <c r="N49" s="44">
        <f t="shared" ref="N49:N55" si="22">C49-H49</f>
        <v>38.700000000000003</v>
      </c>
      <c r="O49" s="44">
        <f t="shared" ref="O49:O55" si="23">IFERROR(I49/D49*100,"-")</f>
        <v>95.9</v>
      </c>
      <c r="P49" s="44">
        <f t="shared" ref="P49:P55" si="24">D49-I49</f>
        <v>38.700000000000003</v>
      </c>
      <c r="Q49" s="44" t="str">
        <f t="shared" ref="Q49:Q55" si="25">IFERROR(J49/E49*100,"-")</f>
        <v>-</v>
      </c>
      <c r="R49" s="44">
        <f t="shared" ref="R49:R55" si="26">E49-J49</f>
        <v>0</v>
      </c>
      <c r="S49" s="44" t="str">
        <f t="shared" ref="S49:S55" si="27">IFERROR(K49/F49*100,"-")</f>
        <v>-</v>
      </c>
      <c r="T49" s="44">
        <f t="shared" ref="T49:T55" si="28">F49-K49</f>
        <v>0</v>
      </c>
    </row>
    <row r="50" spans="1:20" ht="27" hidden="1" customHeight="1" outlineLevel="2" x14ac:dyDescent="0.25">
      <c r="A50" s="47" t="s">
        <v>415</v>
      </c>
      <c r="B50" s="55" t="s">
        <v>403</v>
      </c>
      <c r="C50" s="44">
        <f t="shared" si="19"/>
        <v>5539.9</v>
      </c>
      <c r="D50" s="44">
        <f>5539.886</f>
        <v>5539.9</v>
      </c>
      <c r="E50" s="44">
        <v>0</v>
      </c>
      <c r="F50" s="44">
        <v>0</v>
      </c>
      <c r="G50" s="44">
        <v>0</v>
      </c>
      <c r="H50" s="44">
        <f t="shared" si="20"/>
        <v>5491.3</v>
      </c>
      <c r="I50" s="44">
        <f>5491.3</f>
        <v>5491.3</v>
      </c>
      <c r="J50" s="44">
        <v>0</v>
      </c>
      <c r="K50" s="44">
        <v>0</v>
      </c>
      <c r="L50" s="44">
        <v>0</v>
      </c>
      <c r="M50" s="44">
        <f t="shared" si="21"/>
        <v>99.1</v>
      </c>
      <c r="N50" s="44">
        <f t="shared" si="22"/>
        <v>48.6</v>
      </c>
      <c r="O50" s="44">
        <f t="shared" si="23"/>
        <v>99.1</v>
      </c>
      <c r="P50" s="44">
        <f t="shared" si="24"/>
        <v>48.6</v>
      </c>
      <c r="Q50" s="44" t="str">
        <f t="shared" si="25"/>
        <v>-</v>
      </c>
      <c r="R50" s="44">
        <f t="shared" si="26"/>
        <v>0</v>
      </c>
      <c r="S50" s="44" t="str">
        <f t="shared" si="27"/>
        <v>-</v>
      </c>
      <c r="T50" s="44">
        <f t="shared" si="28"/>
        <v>0</v>
      </c>
    </row>
    <row r="51" spans="1:20" ht="40.5" hidden="1" outlineLevel="2" x14ac:dyDescent="0.25">
      <c r="A51" s="47" t="s">
        <v>416</v>
      </c>
      <c r="B51" s="55" t="s">
        <v>349</v>
      </c>
      <c r="C51" s="44">
        <f t="shared" si="19"/>
        <v>2736.5</v>
      </c>
      <c r="D51" s="44">
        <f>2736.514</f>
        <v>2736.5</v>
      </c>
      <c r="E51" s="44">
        <v>0</v>
      </c>
      <c r="F51" s="44">
        <v>0</v>
      </c>
      <c r="G51" s="44">
        <v>0</v>
      </c>
      <c r="H51" s="44">
        <f t="shared" si="20"/>
        <v>2736.5</v>
      </c>
      <c r="I51" s="44">
        <f>2736.514</f>
        <v>2736.5</v>
      </c>
      <c r="J51" s="44">
        <v>0</v>
      </c>
      <c r="K51" s="44">
        <v>0</v>
      </c>
      <c r="L51" s="44"/>
      <c r="M51" s="44">
        <f t="shared" si="21"/>
        <v>100</v>
      </c>
      <c r="N51" s="44">
        <f t="shared" si="22"/>
        <v>0</v>
      </c>
      <c r="O51" s="44">
        <f t="shared" si="23"/>
        <v>100</v>
      </c>
      <c r="P51" s="44">
        <f t="shared" si="24"/>
        <v>0</v>
      </c>
      <c r="Q51" s="44" t="str">
        <f t="shared" si="25"/>
        <v>-</v>
      </c>
      <c r="R51" s="44">
        <f t="shared" si="26"/>
        <v>0</v>
      </c>
      <c r="S51" s="44" t="str">
        <f t="shared" si="27"/>
        <v>-</v>
      </c>
      <c r="T51" s="44">
        <f t="shared" si="28"/>
        <v>0</v>
      </c>
    </row>
    <row r="52" spans="1:20" ht="67.5" hidden="1" outlineLevel="2" x14ac:dyDescent="0.25">
      <c r="A52" s="47" t="s">
        <v>417</v>
      </c>
      <c r="B52" s="55" t="s">
        <v>564</v>
      </c>
      <c r="C52" s="44">
        <f t="shared" si="19"/>
        <v>3939.9</v>
      </c>
      <c r="D52" s="44">
        <v>0</v>
      </c>
      <c r="E52" s="44">
        <f>3939.9</f>
        <v>3939.9</v>
      </c>
      <c r="F52" s="44">
        <v>0</v>
      </c>
      <c r="G52" s="44">
        <v>0</v>
      </c>
      <c r="H52" s="44">
        <f t="shared" si="20"/>
        <v>3685.4</v>
      </c>
      <c r="I52" s="44">
        <v>0</v>
      </c>
      <c r="J52" s="44">
        <f>3685.4211</f>
        <v>3685.4</v>
      </c>
      <c r="K52" s="44">
        <v>0</v>
      </c>
      <c r="L52" s="44">
        <v>0</v>
      </c>
      <c r="M52" s="44">
        <f t="shared" si="21"/>
        <v>93.5</v>
      </c>
      <c r="N52" s="44">
        <f t="shared" si="22"/>
        <v>254.5</v>
      </c>
      <c r="O52" s="44" t="str">
        <f t="shared" si="23"/>
        <v>-</v>
      </c>
      <c r="P52" s="44">
        <f t="shared" si="24"/>
        <v>0</v>
      </c>
      <c r="Q52" s="44">
        <f t="shared" si="25"/>
        <v>93.5</v>
      </c>
      <c r="R52" s="44">
        <f t="shared" si="26"/>
        <v>254.5</v>
      </c>
      <c r="S52" s="44" t="str">
        <f t="shared" si="27"/>
        <v>-</v>
      </c>
      <c r="T52" s="44">
        <f t="shared" si="28"/>
        <v>0</v>
      </c>
    </row>
    <row r="53" spans="1:20" ht="54" hidden="1" outlineLevel="2" x14ac:dyDescent="0.25">
      <c r="A53" s="47" t="s">
        <v>418</v>
      </c>
      <c r="B53" s="55" t="s">
        <v>565</v>
      </c>
      <c r="C53" s="44">
        <f t="shared" si="19"/>
        <v>14094.8</v>
      </c>
      <c r="D53" s="44">
        <v>0</v>
      </c>
      <c r="E53" s="44">
        <v>14094.8</v>
      </c>
      <c r="F53" s="44">
        <v>0</v>
      </c>
      <c r="G53" s="44">
        <v>0</v>
      </c>
      <c r="H53" s="44">
        <f t="shared" si="20"/>
        <v>12079.8</v>
      </c>
      <c r="I53" s="44">
        <v>0</v>
      </c>
      <c r="J53" s="44">
        <v>12079.8</v>
      </c>
      <c r="K53" s="44">
        <v>0</v>
      </c>
      <c r="L53" s="44">
        <v>0</v>
      </c>
      <c r="M53" s="44">
        <f t="shared" si="21"/>
        <v>85.7</v>
      </c>
      <c r="N53" s="44">
        <f t="shared" si="22"/>
        <v>2015</v>
      </c>
      <c r="O53" s="44" t="str">
        <f t="shared" si="23"/>
        <v>-</v>
      </c>
      <c r="P53" s="44">
        <f t="shared" si="24"/>
        <v>0</v>
      </c>
      <c r="Q53" s="44">
        <f t="shared" si="25"/>
        <v>85.7</v>
      </c>
      <c r="R53" s="44">
        <f t="shared" si="26"/>
        <v>2015</v>
      </c>
      <c r="S53" s="44" t="str">
        <f t="shared" si="27"/>
        <v>-</v>
      </c>
      <c r="T53" s="44">
        <f t="shared" si="28"/>
        <v>0</v>
      </c>
    </row>
    <row r="54" spans="1:20" ht="27" hidden="1" outlineLevel="2" x14ac:dyDescent="0.25">
      <c r="A54" s="47" t="s">
        <v>419</v>
      </c>
      <c r="B54" s="55" t="s">
        <v>351</v>
      </c>
      <c r="C54" s="44">
        <f t="shared" si="19"/>
        <v>4906.2</v>
      </c>
      <c r="D54" s="44">
        <v>706.2</v>
      </c>
      <c r="E54" s="44">
        <v>4200</v>
      </c>
      <c r="F54" s="44">
        <v>0</v>
      </c>
      <c r="G54" s="44">
        <v>0</v>
      </c>
      <c r="H54" s="44">
        <f t="shared" si="20"/>
        <v>971.5</v>
      </c>
      <c r="I54" s="44">
        <v>706.2</v>
      </c>
      <c r="J54" s="44">
        <v>265.3</v>
      </c>
      <c r="K54" s="44">
        <v>0</v>
      </c>
      <c r="L54" s="44">
        <v>0</v>
      </c>
      <c r="M54" s="44">
        <f t="shared" si="21"/>
        <v>19.8</v>
      </c>
      <c r="N54" s="44">
        <f t="shared" si="22"/>
        <v>3934.7</v>
      </c>
      <c r="O54" s="44">
        <f t="shared" si="23"/>
        <v>100</v>
      </c>
      <c r="P54" s="44">
        <f t="shared" si="24"/>
        <v>0</v>
      </c>
      <c r="Q54" s="44">
        <f t="shared" si="25"/>
        <v>6.3</v>
      </c>
      <c r="R54" s="44">
        <f t="shared" si="26"/>
        <v>3934.7</v>
      </c>
      <c r="S54" s="44" t="str">
        <f t="shared" si="27"/>
        <v>-</v>
      </c>
      <c r="T54" s="44">
        <f t="shared" si="28"/>
        <v>0</v>
      </c>
    </row>
    <row r="55" spans="1:20" ht="27" hidden="1" outlineLevel="2" x14ac:dyDescent="0.25">
      <c r="A55" s="47" t="s">
        <v>420</v>
      </c>
      <c r="B55" s="55" t="s">
        <v>350</v>
      </c>
      <c r="C55" s="44">
        <f t="shared" si="19"/>
        <v>209.1</v>
      </c>
      <c r="D55" s="71">
        <f>209.1</f>
        <v>209.1</v>
      </c>
      <c r="E55" s="71">
        <v>0</v>
      </c>
      <c r="F55" s="71">
        <v>0</v>
      </c>
      <c r="G55" s="71">
        <v>0</v>
      </c>
      <c r="H55" s="71">
        <f t="shared" si="20"/>
        <v>209.1</v>
      </c>
      <c r="I55" s="71">
        <f>209.1</f>
        <v>209.1</v>
      </c>
      <c r="J55" s="44">
        <v>0</v>
      </c>
      <c r="K55" s="44">
        <v>0</v>
      </c>
      <c r="L55" s="44">
        <v>0</v>
      </c>
      <c r="M55" s="44">
        <f t="shared" si="21"/>
        <v>100</v>
      </c>
      <c r="N55" s="44">
        <f t="shared" si="22"/>
        <v>0</v>
      </c>
      <c r="O55" s="44">
        <f t="shared" si="23"/>
        <v>100</v>
      </c>
      <c r="P55" s="44">
        <f t="shared" si="24"/>
        <v>0</v>
      </c>
      <c r="Q55" s="44" t="str">
        <f t="shared" si="25"/>
        <v>-</v>
      </c>
      <c r="R55" s="44">
        <f t="shared" si="26"/>
        <v>0</v>
      </c>
      <c r="S55" s="44" t="str">
        <f t="shared" si="27"/>
        <v>-</v>
      </c>
      <c r="T55" s="44">
        <f t="shared" si="28"/>
        <v>0</v>
      </c>
    </row>
    <row r="56" spans="1:20" s="22" customFormat="1" ht="27" hidden="1" customHeight="1" outlineLevel="1" x14ac:dyDescent="0.25">
      <c r="A56" s="11"/>
      <c r="B56" s="58" t="s">
        <v>11</v>
      </c>
      <c r="C56" s="59">
        <f t="shared" si="11"/>
        <v>1020</v>
      </c>
      <c r="D56" s="59">
        <f>SUM(D57:D57)</f>
        <v>1020</v>
      </c>
      <c r="E56" s="59">
        <f>SUM(E57:E57)</f>
        <v>0</v>
      </c>
      <c r="F56" s="59">
        <f>SUM(F57:F57)</f>
        <v>0</v>
      </c>
      <c r="G56" s="59">
        <f>SUM(G57:G57)</f>
        <v>0</v>
      </c>
      <c r="H56" s="59">
        <f t="shared" si="9"/>
        <v>1020</v>
      </c>
      <c r="I56" s="59">
        <f>SUM(I57:I57)</f>
        <v>1020</v>
      </c>
      <c r="J56" s="59">
        <f>SUM(J57:J57)</f>
        <v>0</v>
      </c>
      <c r="K56" s="59">
        <f>SUM(K57:K57)</f>
        <v>0</v>
      </c>
      <c r="L56" s="59">
        <f>SUM(L57:L57)</f>
        <v>0</v>
      </c>
      <c r="M56" s="59">
        <f t="shared" si="0"/>
        <v>100</v>
      </c>
      <c r="N56" s="59">
        <f t="shared" si="1"/>
        <v>0</v>
      </c>
      <c r="O56" s="59">
        <f t="shared" si="2"/>
        <v>100</v>
      </c>
      <c r="P56" s="59">
        <f t="shared" si="3"/>
        <v>0</v>
      </c>
      <c r="Q56" s="59" t="str">
        <f t="shared" si="4"/>
        <v>-</v>
      </c>
      <c r="R56" s="59">
        <f t="shared" si="5"/>
        <v>0</v>
      </c>
      <c r="S56" s="59" t="str">
        <f t="shared" si="6"/>
        <v>-</v>
      </c>
      <c r="T56" s="59">
        <f t="shared" si="7"/>
        <v>0</v>
      </c>
    </row>
    <row r="57" spans="1:20" ht="40.5" hidden="1" outlineLevel="2" x14ac:dyDescent="0.25">
      <c r="A57" s="29"/>
      <c r="B57" s="46" t="s">
        <v>602</v>
      </c>
      <c r="C57" s="44">
        <f t="shared" si="11"/>
        <v>1020</v>
      </c>
      <c r="D57" s="44">
        <v>1020</v>
      </c>
      <c r="E57" s="44">
        <v>0</v>
      </c>
      <c r="F57" s="44">
        <v>0</v>
      </c>
      <c r="G57" s="44">
        <v>0</v>
      </c>
      <c r="H57" s="44">
        <f t="shared" si="9"/>
        <v>1020</v>
      </c>
      <c r="I57" s="44">
        <v>1020</v>
      </c>
      <c r="J57" s="44">
        <v>0</v>
      </c>
      <c r="K57" s="44">
        <v>0</v>
      </c>
      <c r="L57" s="44">
        <v>0</v>
      </c>
      <c r="M57" s="44">
        <f t="shared" si="0"/>
        <v>100</v>
      </c>
      <c r="N57" s="44">
        <f t="shared" si="1"/>
        <v>0</v>
      </c>
      <c r="O57" s="44">
        <f t="shared" si="2"/>
        <v>100</v>
      </c>
      <c r="P57" s="44">
        <f t="shared" si="3"/>
        <v>0</v>
      </c>
      <c r="Q57" s="44" t="str">
        <f t="shared" si="4"/>
        <v>-</v>
      </c>
      <c r="R57" s="44">
        <f t="shared" si="5"/>
        <v>0</v>
      </c>
      <c r="S57" s="44" t="str">
        <f t="shared" si="6"/>
        <v>-</v>
      </c>
      <c r="T57" s="44">
        <f t="shared" si="7"/>
        <v>0</v>
      </c>
    </row>
    <row r="58" spans="1:20" s="22" customFormat="1" ht="27" hidden="1" outlineLevel="1" x14ac:dyDescent="0.25">
      <c r="A58" s="11"/>
      <c r="B58" s="58" t="s">
        <v>12</v>
      </c>
      <c r="C58" s="59">
        <f t="shared" si="11"/>
        <v>32915.5</v>
      </c>
      <c r="D58" s="59">
        <f>D59+D60</f>
        <v>8892.2000000000007</v>
      </c>
      <c r="E58" s="59">
        <f>E59+E60</f>
        <v>24023.3</v>
      </c>
      <c r="F58" s="59">
        <f>F59+F60</f>
        <v>0</v>
      </c>
      <c r="G58" s="59">
        <f>G59+G60</f>
        <v>0</v>
      </c>
      <c r="H58" s="59">
        <f t="shared" si="9"/>
        <v>32845.300000000003</v>
      </c>
      <c r="I58" s="59">
        <f>I59+I60</f>
        <v>8822</v>
      </c>
      <c r="J58" s="59">
        <f>J59+J60</f>
        <v>24023.3</v>
      </c>
      <c r="K58" s="59">
        <f>K59+K60</f>
        <v>0</v>
      </c>
      <c r="L58" s="59">
        <f>L59</f>
        <v>0</v>
      </c>
      <c r="M58" s="59">
        <f t="shared" si="0"/>
        <v>99.8</v>
      </c>
      <c r="N58" s="59">
        <f t="shared" si="1"/>
        <v>70.2</v>
      </c>
      <c r="O58" s="59">
        <f t="shared" si="2"/>
        <v>99.2</v>
      </c>
      <c r="P58" s="59">
        <f t="shared" si="3"/>
        <v>70.2</v>
      </c>
      <c r="Q58" s="59">
        <f t="shared" si="4"/>
        <v>100</v>
      </c>
      <c r="R58" s="59">
        <f t="shared" si="5"/>
        <v>0</v>
      </c>
      <c r="S58" s="59" t="str">
        <f t="shared" si="6"/>
        <v>-</v>
      </c>
      <c r="T58" s="59">
        <f t="shared" si="7"/>
        <v>0</v>
      </c>
    </row>
    <row r="59" spans="1:20" ht="27" hidden="1" customHeight="1" outlineLevel="2" x14ac:dyDescent="0.25">
      <c r="A59" s="29"/>
      <c r="B59" s="46" t="s">
        <v>608</v>
      </c>
      <c r="C59" s="44">
        <f t="shared" si="11"/>
        <v>8892.2000000000007</v>
      </c>
      <c r="D59" s="44">
        <v>8892.2000000000007</v>
      </c>
      <c r="E59" s="44">
        <v>0</v>
      </c>
      <c r="F59" s="44">
        <v>0</v>
      </c>
      <c r="G59" s="44">
        <v>0</v>
      </c>
      <c r="H59" s="44">
        <f t="shared" si="9"/>
        <v>8822</v>
      </c>
      <c r="I59" s="44">
        <v>8822</v>
      </c>
      <c r="J59" s="44">
        <v>0</v>
      </c>
      <c r="K59" s="44">
        <v>0</v>
      </c>
      <c r="L59" s="44">
        <v>0</v>
      </c>
      <c r="M59" s="44">
        <f t="shared" si="0"/>
        <v>99.2</v>
      </c>
      <c r="N59" s="44">
        <f t="shared" si="1"/>
        <v>70.2</v>
      </c>
      <c r="O59" s="44">
        <f t="shared" si="2"/>
        <v>99.2</v>
      </c>
      <c r="P59" s="44">
        <f t="shared" si="3"/>
        <v>70.2</v>
      </c>
      <c r="Q59" s="44" t="str">
        <f t="shared" si="4"/>
        <v>-</v>
      </c>
      <c r="R59" s="44">
        <f t="shared" si="5"/>
        <v>0</v>
      </c>
      <c r="S59" s="44" t="str">
        <f t="shared" si="6"/>
        <v>-</v>
      </c>
      <c r="T59" s="44">
        <f t="shared" si="7"/>
        <v>0</v>
      </c>
    </row>
    <row r="60" spans="1:20" ht="27" hidden="1" customHeight="1" outlineLevel="2" x14ac:dyDescent="0.25">
      <c r="A60" s="29"/>
      <c r="B60" s="46" t="s">
        <v>609</v>
      </c>
      <c r="C60" s="44">
        <f t="shared" si="11"/>
        <v>24023.3</v>
      </c>
      <c r="D60" s="44">
        <f>SUM(D61:D65)</f>
        <v>0</v>
      </c>
      <c r="E60" s="44">
        <f>SUM(E61:E65)</f>
        <v>24023.3</v>
      </c>
      <c r="F60" s="44">
        <f>SUM(F61:F65)</f>
        <v>0</v>
      </c>
      <c r="G60" s="44">
        <f>SUM(G61:G65)</f>
        <v>0</v>
      </c>
      <c r="H60" s="44">
        <f t="shared" si="9"/>
        <v>24023.3</v>
      </c>
      <c r="I60" s="44">
        <f>SUM(I61:I65)</f>
        <v>0</v>
      </c>
      <c r="J60" s="44">
        <f>SUM(J61:J65)</f>
        <v>24023.3</v>
      </c>
      <c r="K60" s="44">
        <f>SUM(K61:K65)</f>
        <v>0</v>
      </c>
      <c r="L60" s="44">
        <f>SUM(L61:L65)</f>
        <v>0</v>
      </c>
      <c r="M60" s="44">
        <f t="shared" si="0"/>
        <v>100</v>
      </c>
      <c r="N60" s="44">
        <f t="shared" si="1"/>
        <v>0</v>
      </c>
      <c r="O60" s="44" t="str">
        <f t="shared" si="2"/>
        <v>-</v>
      </c>
      <c r="P60" s="44">
        <f t="shared" si="3"/>
        <v>0</v>
      </c>
      <c r="Q60" s="44">
        <f t="shared" si="4"/>
        <v>100</v>
      </c>
      <c r="R60" s="44">
        <f t="shared" si="5"/>
        <v>0</v>
      </c>
      <c r="S60" s="44" t="str">
        <f t="shared" si="6"/>
        <v>-</v>
      </c>
      <c r="T60" s="44">
        <f t="shared" si="7"/>
        <v>0</v>
      </c>
    </row>
    <row r="61" spans="1:20" ht="13.5" hidden="1" customHeight="1" outlineLevel="3" x14ac:dyDescent="0.25">
      <c r="A61" s="29"/>
      <c r="B61" s="46" t="s">
        <v>603</v>
      </c>
      <c r="C61" s="44">
        <f t="shared" si="11"/>
        <v>12121.8</v>
      </c>
      <c r="D61" s="44">
        <v>0</v>
      </c>
      <c r="E61" s="44">
        <v>12121.8</v>
      </c>
      <c r="F61" s="44">
        <v>0</v>
      </c>
      <c r="G61" s="44">
        <v>0</v>
      </c>
      <c r="H61" s="44">
        <f t="shared" si="9"/>
        <v>12121.8</v>
      </c>
      <c r="I61" s="44">
        <v>0</v>
      </c>
      <c r="J61" s="44">
        <v>12121.8</v>
      </c>
      <c r="K61" s="44">
        <v>0</v>
      </c>
      <c r="L61" s="44">
        <v>0</v>
      </c>
      <c r="M61" s="44">
        <f t="shared" si="0"/>
        <v>100</v>
      </c>
      <c r="N61" s="44">
        <f t="shared" si="1"/>
        <v>0</v>
      </c>
      <c r="O61" s="44" t="str">
        <f t="shared" si="2"/>
        <v>-</v>
      </c>
      <c r="P61" s="44">
        <f t="shared" si="3"/>
        <v>0</v>
      </c>
      <c r="Q61" s="44">
        <f t="shared" si="4"/>
        <v>100</v>
      </c>
      <c r="R61" s="44">
        <f t="shared" si="5"/>
        <v>0</v>
      </c>
      <c r="S61" s="44" t="str">
        <f t="shared" si="6"/>
        <v>-</v>
      </c>
      <c r="T61" s="44">
        <f t="shared" si="7"/>
        <v>0</v>
      </c>
    </row>
    <row r="62" spans="1:20" ht="54" hidden="1" customHeight="1" outlineLevel="3" x14ac:dyDescent="0.25">
      <c r="A62" s="29"/>
      <c r="B62" s="46" t="s">
        <v>604</v>
      </c>
      <c r="C62" s="44">
        <f t="shared" si="11"/>
        <v>9968.2000000000007</v>
      </c>
      <c r="D62" s="44">
        <v>0</v>
      </c>
      <c r="E62" s="44">
        <v>9968.2000000000007</v>
      </c>
      <c r="F62" s="44">
        <v>0</v>
      </c>
      <c r="G62" s="44">
        <v>0</v>
      </c>
      <c r="H62" s="44">
        <f t="shared" si="9"/>
        <v>9968.2000000000007</v>
      </c>
      <c r="I62" s="44">
        <v>0</v>
      </c>
      <c r="J62" s="44">
        <v>9968.2000000000007</v>
      </c>
      <c r="K62" s="44">
        <v>0</v>
      </c>
      <c r="L62" s="44">
        <v>0</v>
      </c>
      <c r="M62" s="44">
        <f t="shared" si="0"/>
        <v>100</v>
      </c>
      <c r="N62" s="44">
        <f t="shared" si="1"/>
        <v>0</v>
      </c>
      <c r="O62" s="44" t="str">
        <f t="shared" si="2"/>
        <v>-</v>
      </c>
      <c r="P62" s="44">
        <f t="shared" si="3"/>
        <v>0</v>
      </c>
      <c r="Q62" s="44">
        <f t="shared" si="4"/>
        <v>100</v>
      </c>
      <c r="R62" s="44">
        <f t="shared" si="5"/>
        <v>0</v>
      </c>
      <c r="S62" s="44" t="str">
        <f t="shared" si="6"/>
        <v>-</v>
      </c>
      <c r="T62" s="44">
        <f t="shared" si="7"/>
        <v>0</v>
      </c>
    </row>
    <row r="63" spans="1:20" ht="40.5" hidden="1" customHeight="1" outlineLevel="3" x14ac:dyDescent="0.25">
      <c r="A63" s="29"/>
      <c r="B63" s="46" t="s">
        <v>605</v>
      </c>
      <c r="C63" s="44">
        <f t="shared" si="11"/>
        <v>1916.3</v>
      </c>
      <c r="D63" s="44">
        <v>0</v>
      </c>
      <c r="E63" s="44">
        <v>1916.3</v>
      </c>
      <c r="F63" s="44">
        <v>0</v>
      </c>
      <c r="G63" s="44">
        <v>0</v>
      </c>
      <c r="H63" s="44">
        <f t="shared" si="9"/>
        <v>1916.3</v>
      </c>
      <c r="I63" s="44">
        <v>0</v>
      </c>
      <c r="J63" s="44">
        <v>1916.3</v>
      </c>
      <c r="K63" s="44">
        <v>0</v>
      </c>
      <c r="L63" s="44">
        <v>0</v>
      </c>
      <c r="M63" s="44">
        <f t="shared" si="0"/>
        <v>100</v>
      </c>
      <c r="N63" s="44">
        <f t="shared" si="1"/>
        <v>0</v>
      </c>
      <c r="O63" s="44" t="str">
        <f t="shared" si="2"/>
        <v>-</v>
      </c>
      <c r="P63" s="44">
        <f t="shared" si="3"/>
        <v>0</v>
      </c>
      <c r="Q63" s="44">
        <f t="shared" si="4"/>
        <v>100</v>
      </c>
      <c r="R63" s="44">
        <f t="shared" si="5"/>
        <v>0</v>
      </c>
      <c r="S63" s="44" t="str">
        <f t="shared" si="6"/>
        <v>-</v>
      </c>
      <c r="T63" s="44">
        <f t="shared" si="7"/>
        <v>0</v>
      </c>
    </row>
    <row r="64" spans="1:20" ht="40.5" hidden="1" customHeight="1" outlineLevel="3" x14ac:dyDescent="0.25">
      <c r="A64" s="29"/>
      <c r="B64" s="46" t="s">
        <v>606</v>
      </c>
      <c r="C64" s="44">
        <f t="shared" si="11"/>
        <v>17</v>
      </c>
      <c r="D64" s="44">
        <v>0</v>
      </c>
      <c r="E64" s="44">
        <v>17</v>
      </c>
      <c r="F64" s="44">
        <v>0</v>
      </c>
      <c r="G64" s="44">
        <v>0</v>
      </c>
      <c r="H64" s="44">
        <f t="shared" si="9"/>
        <v>17</v>
      </c>
      <c r="I64" s="44">
        <v>0</v>
      </c>
      <c r="J64" s="44">
        <v>17</v>
      </c>
      <c r="K64" s="44">
        <v>0</v>
      </c>
      <c r="L64" s="44">
        <v>0</v>
      </c>
      <c r="M64" s="44">
        <f t="shared" si="0"/>
        <v>100</v>
      </c>
      <c r="N64" s="44">
        <f t="shared" si="1"/>
        <v>0</v>
      </c>
      <c r="O64" s="44" t="str">
        <f t="shared" si="2"/>
        <v>-</v>
      </c>
      <c r="P64" s="44">
        <f t="shared" si="3"/>
        <v>0</v>
      </c>
      <c r="Q64" s="44">
        <f t="shared" si="4"/>
        <v>100</v>
      </c>
      <c r="R64" s="44">
        <f t="shared" si="5"/>
        <v>0</v>
      </c>
      <c r="S64" s="44" t="str">
        <f t="shared" si="6"/>
        <v>-</v>
      </c>
      <c r="T64" s="44">
        <f t="shared" si="7"/>
        <v>0</v>
      </c>
    </row>
    <row r="65" spans="1:20" ht="54" hidden="1" customHeight="1" outlineLevel="3" x14ac:dyDescent="0.25">
      <c r="A65" s="29"/>
      <c r="B65" s="46" t="s">
        <v>607</v>
      </c>
      <c r="C65" s="44">
        <f t="shared" si="11"/>
        <v>0</v>
      </c>
      <c r="D65" s="44">
        <v>0</v>
      </c>
      <c r="E65" s="44">
        <v>0</v>
      </c>
      <c r="F65" s="44">
        <v>0</v>
      </c>
      <c r="G65" s="44">
        <v>0</v>
      </c>
      <c r="H65" s="44">
        <f t="shared" si="9"/>
        <v>0</v>
      </c>
      <c r="I65" s="44">
        <v>0</v>
      </c>
      <c r="J65" s="44">
        <v>0</v>
      </c>
      <c r="K65" s="44">
        <v>0</v>
      </c>
      <c r="L65" s="44">
        <v>0</v>
      </c>
      <c r="M65" s="44" t="str">
        <f t="shared" si="0"/>
        <v>-</v>
      </c>
      <c r="N65" s="44">
        <f t="shared" si="1"/>
        <v>0</v>
      </c>
      <c r="O65" s="44" t="str">
        <f t="shared" si="2"/>
        <v>-</v>
      </c>
      <c r="P65" s="44">
        <f t="shared" si="3"/>
        <v>0</v>
      </c>
      <c r="Q65" s="44" t="str">
        <f t="shared" si="4"/>
        <v>-</v>
      </c>
      <c r="R65" s="44">
        <f t="shared" si="5"/>
        <v>0</v>
      </c>
      <c r="S65" s="44" t="str">
        <f t="shared" si="6"/>
        <v>-</v>
      </c>
      <c r="T65" s="44">
        <f t="shared" si="7"/>
        <v>0</v>
      </c>
    </row>
    <row r="66" spans="1:20" s="23" customFormat="1" ht="24.75" customHeight="1" collapsed="1" x14ac:dyDescent="0.25">
      <c r="A66" s="40">
        <v>4</v>
      </c>
      <c r="B66" s="41" t="s">
        <v>14</v>
      </c>
      <c r="C66" s="42">
        <f t="shared" si="11"/>
        <v>174.4</v>
      </c>
      <c r="D66" s="42">
        <f>SUM(D68:D72)</f>
        <v>174.4</v>
      </c>
      <c r="E66" s="42">
        <f>SUM(E68:E71)</f>
        <v>0</v>
      </c>
      <c r="F66" s="42">
        <f>SUM(F68:F71)</f>
        <v>0</v>
      </c>
      <c r="G66" s="42">
        <f>SUM(G68:G71)</f>
        <v>0</v>
      </c>
      <c r="H66" s="42">
        <f t="shared" si="9"/>
        <v>174.4</v>
      </c>
      <c r="I66" s="42">
        <f>SUM(I68:I72)</f>
        <v>174.4</v>
      </c>
      <c r="J66" s="42">
        <f>SUM(J68:J71)</f>
        <v>0</v>
      </c>
      <c r="K66" s="42">
        <f>SUM(K68:K71)</f>
        <v>0</v>
      </c>
      <c r="L66" s="42">
        <f>SUM(L68:L71)</f>
        <v>0</v>
      </c>
      <c r="M66" s="42">
        <f t="shared" si="0"/>
        <v>100</v>
      </c>
      <c r="N66" s="42">
        <f t="shared" si="1"/>
        <v>0</v>
      </c>
      <c r="O66" s="42">
        <f t="shared" si="2"/>
        <v>100</v>
      </c>
      <c r="P66" s="42">
        <f t="shared" si="3"/>
        <v>0</v>
      </c>
      <c r="Q66" s="42" t="str">
        <f t="shared" si="4"/>
        <v>-</v>
      </c>
      <c r="R66" s="42">
        <f t="shared" si="5"/>
        <v>0</v>
      </c>
      <c r="S66" s="42" t="str">
        <f t="shared" si="6"/>
        <v>-</v>
      </c>
      <c r="T66" s="42">
        <f t="shared" si="7"/>
        <v>0</v>
      </c>
    </row>
    <row r="67" spans="1:20" ht="27" hidden="1" outlineLevel="1" x14ac:dyDescent="0.25">
      <c r="A67" s="70"/>
      <c r="B67" s="46" t="s">
        <v>555</v>
      </c>
      <c r="C67" s="44">
        <f>SUM(D67:F67)</f>
        <v>174.4</v>
      </c>
      <c r="D67" s="44">
        <f>SUM(D68:D72)</f>
        <v>174.4</v>
      </c>
      <c r="E67" s="44">
        <f>SUM(E68:E71)</f>
        <v>0</v>
      </c>
      <c r="F67" s="44">
        <f>SUM(F68:F71)</f>
        <v>0</v>
      </c>
      <c r="G67" s="44"/>
      <c r="H67" s="44">
        <f>SUM(I67:K67)</f>
        <v>174.4</v>
      </c>
      <c r="I67" s="44">
        <f>SUM(I68:I72)</f>
        <v>174.4</v>
      </c>
      <c r="J67" s="44">
        <f>SUM(J68:J71)</f>
        <v>0</v>
      </c>
      <c r="K67" s="44">
        <f>SUM(K68:K71)</f>
        <v>0</v>
      </c>
      <c r="L67" s="44"/>
      <c r="M67" s="44">
        <f t="shared" si="0"/>
        <v>100</v>
      </c>
      <c r="N67" s="44">
        <f t="shared" si="1"/>
        <v>0</v>
      </c>
      <c r="O67" s="44">
        <f t="shared" si="2"/>
        <v>100</v>
      </c>
      <c r="P67" s="44">
        <f t="shared" si="3"/>
        <v>0</v>
      </c>
      <c r="Q67" s="44" t="str">
        <f t="shared" si="4"/>
        <v>-</v>
      </c>
      <c r="R67" s="44">
        <f t="shared" si="5"/>
        <v>0</v>
      </c>
      <c r="S67" s="44" t="str">
        <f t="shared" si="6"/>
        <v>-</v>
      </c>
      <c r="T67" s="44">
        <f t="shared" si="7"/>
        <v>0</v>
      </c>
    </row>
    <row r="68" spans="1:20" ht="13.5" hidden="1" customHeight="1" outlineLevel="1" x14ac:dyDescent="0.25">
      <c r="A68" s="70"/>
      <c r="B68" s="55" t="s">
        <v>307</v>
      </c>
      <c r="C68" s="44">
        <f t="shared" si="11"/>
        <v>13.5</v>
      </c>
      <c r="D68" s="44">
        <v>13.5</v>
      </c>
      <c r="E68" s="44">
        <v>0</v>
      </c>
      <c r="F68" s="44">
        <v>0</v>
      </c>
      <c r="G68" s="44">
        <v>0</v>
      </c>
      <c r="H68" s="44">
        <f t="shared" si="9"/>
        <v>13.5</v>
      </c>
      <c r="I68" s="44">
        <v>13.5</v>
      </c>
      <c r="J68" s="44">
        <v>0</v>
      </c>
      <c r="K68" s="44">
        <v>0</v>
      </c>
      <c r="L68" s="44">
        <v>0</v>
      </c>
      <c r="M68" s="44">
        <f t="shared" si="0"/>
        <v>100</v>
      </c>
      <c r="N68" s="44">
        <f t="shared" si="1"/>
        <v>0</v>
      </c>
      <c r="O68" s="44">
        <f t="shared" si="2"/>
        <v>100</v>
      </c>
      <c r="P68" s="44">
        <f t="shared" si="3"/>
        <v>0</v>
      </c>
      <c r="Q68" s="44" t="str">
        <f t="shared" si="4"/>
        <v>-</v>
      </c>
      <c r="R68" s="44">
        <f t="shared" si="5"/>
        <v>0</v>
      </c>
      <c r="S68" s="44" t="str">
        <f t="shared" si="6"/>
        <v>-</v>
      </c>
      <c r="T68" s="44">
        <f t="shared" si="7"/>
        <v>0</v>
      </c>
    </row>
    <row r="69" spans="1:20" ht="13.5" hidden="1" customHeight="1" outlineLevel="1" x14ac:dyDescent="0.25">
      <c r="A69" s="60"/>
      <c r="B69" s="55" t="s">
        <v>308</v>
      </c>
      <c r="C69" s="44">
        <f t="shared" si="11"/>
        <v>9</v>
      </c>
      <c r="D69" s="44">
        <v>9</v>
      </c>
      <c r="E69" s="44">
        <v>0</v>
      </c>
      <c r="F69" s="44">
        <v>0</v>
      </c>
      <c r="G69" s="44">
        <v>0</v>
      </c>
      <c r="H69" s="44">
        <f t="shared" si="9"/>
        <v>9</v>
      </c>
      <c r="I69" s="44">
        <v>9</v>
      </c>
      <c r="J69" s="44">
        <v>0</v>
      </c>
      <c r="K69" s="44">
        <v>0</v>
      </c>
      <c r="L69" s="44">
        <v>0</v>
      </c>
      <c r="M69" s="44">
        <f t="shared" si="0"/>
        <v>100</v>
      </c>
      <c r="N69" s="44">
        <f t="shared" si="1"/>
        <v>0</v>
      </c>
      <c r="O69" s="44">
        <f t="shared" si="2"/>
        <v>100</v>
      </c>
      <c r="P69" s="44">
        <f t="shared" si="3"/>
        <v>0</v>
      </c>
      <c r="Q69" s="44" t="str">
        <f t="shared" si="4"/>
        <v>-</v>
      </c>
      <c r="R69" s="44">
        <f t="shared" si="5"/>
        <v>0</v>
      </c>
      <c r="S69" s="44" t="str">
        <f t="shared" si="6"/>
        <v>-</v>
      </c>
      <c r="T69" s="44">
        <f t="shared" si="7"/>
        <v>0</v>
      </c>
    </row>
    <row r="70" spans="1:20" ht="13.5" hidden="1" customHeight="1" outlineLevel="1" x14ac:dyDescent="0.25">
      <c r="A70" s="60"/>
      <c r="B70" s="55" t="s">
        <v>309</v>
      </c>
      <c r="C70" s="44">
        <f t="shared" si="11"/>
        <v>120.7</v>
      </c>
      <c r="D70" s="44">
        <v>120.7</v>
      </c>
      <c r="E70" s="44"/>
      <c r="F70" s="44"/>
      <c r="G70" s="44"/>
      <c r="H70" s="44">
        <f t="shared" si="9"/>
        <v>120.7</v>
      </c>
      <c r="I70" s="44">
        <v>120.7</v>
      </c>
      <c r="J70" s="44">
        <v>0</v>
      </c>
      <c r="K70" s="44"/>
      <c r="L70" s="44"/>
      <c r="M70" s="44">
        <f t="shared" si="0"/>
        <v>100</v>
      </c>
      <c r="N70" s="44">
        <f t="shared" si="1"/>
        <v>0</v>
      </c>
      <c r="O70" s="44">
        <f t="shared" si="2"/>
        <v>100</v>
      </c>
      <c r="P70" s="44">
        <f t="shared" si="3"/>
        <v>0</v>
      </c>
      <c r="Q70" s="44" t="str">
        <f t="shared" si="4"/>
        <v>-</v>
      </c>
      <c r="R70" s="44">
        <f t="shared" si="5"/>
        <v>0</v>
      </c>
      <c r="S70" s="44" t="str">
        <f t="shared" si="6"/>
        <v>-</v>
      </c>
      <c r="T70" s="44">
        <f t="shared" si="7"/>
        <v>0</v>
      </c>
    </row>
    <row r="71" spans="1:20" ht="40.5" hidden="1" customHeight="1" outlineLevel="1" x14ac:dyDescent="0.25">
      <c r="A71" s="60"/>
      <c r="B71" s="55" t="s">
        <v>352</v>
      </c>
      <c r="C71" s="44">
        <f t="shared" si="11"/>
        <v>31.2</v>
      </c>
      <c r="D71" s="44">
        <v>31.2</v>
      </c>
      <c r="E71" s="44">
        <v>0</v>
      </c>
      <c r="F71" s="44">
        <v>0</v>
      </c>
      <c r="G71" s="44">
        <v>0</v>
      </c>
      <c r="H71" s="44">
        <f t="shared" si="9"/>
        <v>31.2</v>
      </c>
      <c r="I71" s="44">
        <v>31.2</v>
      </c>
      <c r="J71" s="44">
        <v>0</v>
      </c>
      <c r="K71" s="44">
        <v>0</v>
      </c>
      <c r="L71" s="44">
        <v>0</v>
      </c>
      <c r="M71" s="44">
        <f t="shared" si="0"/>
        <v>100</v>
      </c>
      <c r="N71" s="44">
        <f t="shared" si="1"/>
        <v>0</v>
      </c>
      <c r="O71" s="44">
        <f t="shared" si="2"/>
        <v>100</v>
      </c>
      <c r="P71" s="44">
        <f t="shared" si="3"/>
        <v>0</v>
      </c>
      <c r="Q71" s="44" t="str">
        <f t="shared" si="4"/>
        <v>-</v>
      </c>
      <c r="R71" s="44">
        <f t="shared" si="5"/>
        <v>0</v>
      </c>
      <c r="S71" s="44" t="str">
        <f t="shared" si="6"/>
        <v>-</v>
      </c>
      <c r="T71" s="44">
        <f t="shared" si="7"/>
        <v>0</v>
      </c>
    </row>
    <row r="72" spans="1:20" s="57" customFormat="1" ht="27" hidden="1" customHeight="1" outlineLevel="1" x14ac:dyDescent="0.25">
      <c r="A72" s="60"/>
      <c r="B72" s="55" t="s">
        <v>618</v>
      </c>
      <c r="C72" s="44">
        <f t="shared" si="11"/>
        <v>0</v>
      </c>
      <c r="D72" s="44">
        <v>0</v>
      </c>
      <c r="E72" s="44">
        <v>0</v>
      </c>
      <c r="F72" s="44">
        <v>0</v>
      </c>
      <c r="G72" s="44">
        <v>0</v>
      </c>
      <c r="H72" s="44">
        <f t="shared" si="9"/>
        <v>0</v>
      </c>
      <c r="I72" s="44">
        <v>0</v>
      </c>
      <c r="J72" s="44">
        <v>0</v>
      </c>
      <c r="K72" s="44">
        <v>0</v>
      </c>
      <c r="L72" s="44">
        <v>0</v>
      </c>
      <c r="M72" s="44" t="str">
        <f t="shared" si="0"/>
        <v>-</v>
      </c>
      <c r="N72" s="44">
        <f t="shared" si="1"/>
        <v>0</v>
      </c>
      <c r="O72" s="44" t="str">
        <f t="shared" si="2"/>
        <v>-</v>
      </c>
      <c r="P72" s="44">
        <f t="shared" si="3"/>
        <v>0</v>
      </c>
      <c r="Q72" s="44" t="str">
        <f t="shared" si="4"/>
        <v>-</v>
      </c>
      <c r="R72" s="44">
        <f t="shared" si="5"/>
        <v>0</v>
      </c>
      <c r="S72" s="44" t="str">
        <f t="shared" si="6"/>
        <v>-</v>
      </c>
      <c r="T72" s="44">
        <f t="shared" si="7"/>
        <v>0</v>
      </c>
    </row>
    <row r="73" spans="1:20" s="23" customFormat="1" ht="27" collapsed="1" x14ac:dyDescent="0.25">
      <c r="A73" s="48">
        <v>5</v>
      </c>
      <c r="B73" s="41" t="s">
        <v>20</v>
      </c>
      <c r="C73" s="42">
        <f>SUM(D73:F73)</f>
        <v>269673.90000000002</v>
      </c>
      <c r="D73" s="42">
        <f>D74+D97+D126+D128+D132+D135</f>
        <v>196354.6</v>
      </c>
      <c r="E73" s="42">
        <f>E74+E97+E126+E128+E132+E135</f>
        <v>73309.899999999994</v>
      </c>
      <c r="F73" s="42">
        <f>F74+F97+F126+F128+F132</f>
        <v>9.4</v>
      </c>
      <c r="G73" s="42">
        <f>G74+G97+G126+G128+G132</f>
        <v>7891</v>
      </c>
      <c r="H73" s="42">
        <f t="shared" si="9"/>
        <v>269282.3</v>
      </c>
      <c r="I73" s="42">
        <f>I74+I97+I126+I128+I132+I135</f>
        <v>195963</v>
      </c>
      <c r="J73" s="42">
        <f>J74+J97+J126+J128+J132</f>
        <v>73309.899999999994</v>
      </c>
      <c r="K73" s="42">
        <f>K74+K97+K126+K128+K132</f>
        <v>9.4</v>
      </c>
      <c r="L73" s="42">
        <f>L74+L97+L126+L128+L132</f>
        <v>7891</v>
      </c>
      <c r="M73" s="42">
        <f t="shared" si="0"/>
        <v>99.9</v>
      </c>
      <c r="N73" s="42">
        <f t="shared" si="1"/>
        <v>391.6</v>
      </c>
      <c r="O73" s="42">
        <f t="shared" si="2"/>
        <v>99.8</v>
      </c>
      <c r="P73" s="42">
        <f t="shared" si="3"/>
        <v>391.6</v>
      </c>
      <c r="Q73" s="42">
        <f t="shared" si="4"/>
        <v>100</v>
      </c>
      <c r="R73" s="42">
        <f t="shared" ref="R73:R91" si="29">E73-J73</f>
        <v>0</v>
      </c>
      <c r="S73" s="42">
        <f t="shared" ref="S73:S91" si="30">IFERROR(K73/F73*100,"-")</f>
        <v>100</v>
      </c>
      <c r="T73" s="42">
        <f t="shared" ref="T73:T91" si="31">F73-K73</f>
        <v>0</v>
      </c>
    </row>
    <row r="74" spans="1:20" s="22" customFormat="1" ht="40.5" hidden="1" outlineLevel="1" x14ac:dyDescent="0.25">
      <c r="A74" s="6"/>
      <c r="B74" s="81" t="s">
        <v>330</v>
      </c>
      <c r="C74" s="59">
        <f>SUM(D74:F74)</f>
        <v>60375.199999999997</v>
      </c>
      <c r="D74" s="54">
        <f>D75+D82</f>
        <v>35200.5</v>
      </c>
      <c r="E74" s="54">
        <f>E75+E82</f>
        <v>25165.3</v>
      </c>
      <c r="F74" s="54">
        <f>F75+F82</f>
        <v>9.4</v>
      </c>
      <c r="G74" s="54">
        <f>SUM(G75:G96)</f>
        <v>0</v>
      </c>
      <c r="H74" s="59">
        <f t="shared" si="9"/>
        <v>60375.199999999997</v>
      </c>
      <c r="I74" s="59">
        <f>I75+I82</f>
        <v>35200.5</v>
      </c>
      <c r="J74" s="59">
        <f>J75+J82</f>
        <v>25165.3</v>
      </c>
      <c r="K74" s="59">
        <f>K75+K82</f>
        <v>9.4</v>
      </c>
      <c r="L74" s="59">
        <f>SUM(L75:L96)</f>
        <v>0</v>
      </c>
      <c r="M74" s="59">
        <f t="shared" si="0"/>
        <v>100</v>
      </c>
      <c r="N74" s="59">
        <f t="shared" si="1"/>
        <v>0</v>
      </c>
      <c r="O74" s="59">
        <f t="shared" si="2"/>
        <v>100</v>
      </c>
      <c r="P74" s="59">
        <f t="shared" si="3"/>
        <v>0</v>
      </c>
      <c r="Q74" s="59">
        <f t="shared" si="4"/>
        <v>100</v>
      </c>
      <c r="R74" s="59">
        <f t="shared" si="29"/>
        <v>0</v>
      </c>
      <c r="S74" s="59">
        <f t="shared" si="30"/>
        <v>100</v>
      </c>
      <c r="T74" s="59">
        <f t="shared" si="31"/>
        <v>0</v>
      </c>
    </row>
    <row r="75" spans="1:20" hidden="1" outlineLevel="2" x14ac:dyDescent="0.25">
      <c r="A75" s="87" t="s">
        <v>77</v>
      </c>
      <c r="B75" s="46" t="s">
        <v>504</v>
      </c>
      <c r="C75" s="44">
        <f>SUM(D75:F75)</f>
        <v>37216.1</v>
      </c>
      <c r="D75" s="44">
        <f>D76+D77+D79+D81</f>
        <v>21433.8</v>
      </c>
      <c r="E75" s="44">
        <f>E76+E77+E79+E81</f>
        <v>15772.9</v>
      </c>
      <c r="F75" s="44">
        <f>F76+F77+F79+F81</f>
        <v>9.4</v>
      </c>
      <c r="G75" s="44">
        <f>G76+G77+G79+G81</f>
        <v>0</v>
      </c>
      <c r="H75" s="44">
        <f t="shared" si="9"/>
        <v>37216.1</v>
      </c>
      <c r="I75" s="44">
        <f>I76+I77+I79+I81</f>
        <v>21433.8</v>
      </c>
      <c r="J75" s="44">
        <f>J76+J77+J79+J81</f>
        <v>15772.9</v>
      </c>
      <c r="K75" s="44">
        <f>K76+K77+K79+K81</f>
        <v>9.4</v>
      </c>
      <c r="L75" s="44">
        <f>L76+L77+L79+L81</f>
        <v>0</v>
      </c>
      <c r="M75" s="44">
        <f t="shared" si="0"/>
        <v>100</v>
      </c>
      <c r="N75" s="44">
        <f t="shared" si="1"/>
        <v>0</v>
      </c>
      <c r="O75" s="44">
        <f t="shared" si="2"/>
        <v>100</v>
      </c>
      <c r="P75" s="44">
        <f t="shared" si="3"/>
        <v>0</v>
      </c>
      <c r="Q75" s="44">
        <f t="shared" si="4"/>
        <v>100</v>
      </c>
      <c r="R75" s="44">
        <f t="shared" si="29"/>
        <v>0</v>
      </c>
      <c r="S75" s="44">
        <f t="shared" si="30"/>
        <v>100</v>
      </c>
      <c r="T75" s="44">
        <f t="shared" si="31"/>
        <v>0</v>
      </c>
    </row>
    <row r="76" spans="1:20" hidden="1" outlineLevel="3" x14ac:dyDescent="0.25">
      <c r="A76" s="87" t="s">
        <v>414</v>
      </c>
      <c r="B76" s="55" t="s">
        <v>310</v>
      </c>
      <c r="C76" s="44">
        <f>SUM(D76:F76)</f>
        <v>36161.800000000003</v>
      </c>
      <c r="D76" s="44">
        <f>21198.84755</f>
        <v>21198.799999999999</v>
      </c>
      <c r="E76" s="44">
        <f>14962.98347</f>
        <v>14963</v>
      </c>
      <c r="F76" s="44">
        <v>0</v>
      </c>
      <c r="G76" s="44">
        <v>0</v>
      </c>
      <c r="H76" s="44">
        <f t="shared" si="9"/>
        <v>36161.800000000003</v>
      </c>
      <c r="I76" s="44">
        <f>21198.84755</f>
        <v>21198.799999999999</v>
      </c>
      <c r="J76" s="44">
        <f>14962.98347</f>
        <v>14963</v>
      </c>
      <c r="K76" s="44">
        <v>0</v>
      </c>
      <c r="L76" s="44">
        <v>0</v>
      </c>
      <c r="M76" s="44">
        <f t="shared" si="0"/>
        <v>100</v>
      </c>
      <c r="N76" s="44">
        <f t="shared" si="1"/>
        <v>0</v>
      </c>
      <c r="O76" s="44">
        <f t="shared" si="2"/>
        <v>100</v>
      </c>
      <c r="P76" s="44">
        <f t="shared" si="3"/>
        <v>0</v>
      </c>
      <c r="Q76" s="44">
        <f t="shared" si="4"/>
        <v>100</v>
      </c>
      <c r="R76" s="44">
        <f t="shared" si="29"/>
        <v>0</v>
      </c>
      <c r="S76" s="44" t="str">
        <f t="shared" si="30"/>
        <v>-</v>
      </c>
      <c r="T76" s="44">
        <f t="shared" si="31"/>
        <v>0</v>
      </c>
    </row>
    <row r="77" spans="1:20" ht="27" hidden="1" outlineLevel="3" x14ac:dyDescent="0.25">
      <c r="A77" s="87" t="s">
        <v>415</v>
      </c>
      <c r="B77" s="55" t="s">
        <v>311</v>
      </c>
      <c r="C77" s="44">
        <f t="shared" ref="C77:C115" si="32">SUM(D77:F77)</f>
        <v>963.9</v>
      </c>
      <c r="D77" s="44">
        <f>144.58403</f>
        <v>144.6</v>
      </c>
      <c r="E77" s="44">
        <f>809.94286</f>
        <v>809.9</v>
      </c>
      <c r="F77" s="44">
        <f>9.4</f>
        <v>9.4</v>
      </c>
      <c r="G77" s="44">
        <v>0</v>
      </c>
      <c r="H77" s="44">
        <f t="shared" si="9"/>
        <v>963.9</v>
      </c>
      <c r="I77" s="44">
        <f>144.58403</f>
        <v>144.6</v>
      </c>
      <c r="J77" s="44">
        <f>809.94286</f>
        <v>809.9</v>
      </c>
      <c r="K77" s="44">
        <f>9.4</f>
        <v>9.4</v>
      </c>
      <c r="L77" s="44">
        <v>0</v>
      </c>
      <c r="M77" s="44">
        <f t="shared" si="0"/>
        <v>100</v>
      </c>
      <c r="N77" s="44">
        <f t="shared" si="1"/>
        <v>0</v>
      </c>
      <c r="O77" s="44">
        <f t="shared" si="2"/>
        <v>100</v>
      </c>
      <c r="P77" s="44">
        <f t="shared" si="3"/>
        <v>0</v>
      </c>
      <c r="Q77" s="44">
        <f t="shared" si="4"/>
        <v>100</v>
      </c>
      <c r="R77" s="44">
        <f t="shared" si="29"/>
        <v>0</v>
      </c>
      <c r="S77" s="44">
        <f t="shared" si="30"/>
        <v>100</v>
      </c>
      <c r="T77" s="44">
        <f t="shared" si="31"/>
        <v>0</v>
      </c>
    </row>
    <row r="78" spans="1:20" ht="27" hidden="1" outlineLevel="3" x14ac:dyDescent="0.25">
      <c r="A78" s="87" t="s">
        <v>505</v>
      </c>
      <c r="B78" s="82" t="s">
        <v>506</v>
      </c>
      <c r="C78" s="44">
        <f>SUM(D78:F78)</f>
        <v>9.4</v>
      </c>
      <c r="D78" s="44">
        <v>0</v>
      </c>
      <c r="E78" s="44">
        <v>0</v>
      </c>
      <c r="F78" s="44">
        <f>9.4</f>
        <v>9.4</v>
      </c>
      <c r="G78" s="44"/>
      <c r="H78" s="44">
        <f>SUM(I78:K78)</f>
        <v>9.4</v>
      </c>
      <c r="I78" s="44">
        <v>0</v>
      </c>
      <c r="J78" s="44">
        <v>0</v>
      </c>
      <c r="K78" s="44">
        <f>9.4</f>
        <v>9.4</v>
      </c>
      <c r="L78" s="44"/>
      <c r="M78" s="44">
        <f>IFERROR(H78/C78*100,"-")</f>
        <v>100</v>
      </c>
      <c r="N78" s="44">
        <f>C78-H78</f>
        <v>0</v>
      </c>
      <c r="O78" s="44" t="str">
        <f>IFERROR(I78/D78*100,"-")</f>
        <v>-</v>
      </c>
      <c r="P78" s="44">
        <f>D78-I78</f>
        <v>0</v>
      </c>
      <c r="Q78" s="44" t="str">
        <f>IFERROR(J78/E78*100,"-")</f>
        <v>-</v>
      </c>
      <c r="R78" s="44">
        <f>E78-J78</f>
        <v>0</v>
      </c>
      <c r="S78" s="44">
        <f>IFERROR(K78/F78*100,"-")</f>
        <v>100</v>
      </c>
      <c r="T78" s="44">
        <f>F78-K78</f>
        <v>0</v>
      </c>
    </row>
    <row r="79" spans="1:20" hidden="1" outlineLevel="3" x14ac:dyDescent="0.25">
      <c r="A79" s="87" t="s">
        <v>416</v>
      </c>
      <c r="B79" s="55" t="s">
        <v>507</v>
      </c>
      <c r="C79" s="44">
        <f>C80</f>
        <v>40.4</v>
      </c>
      <c r="D79" s="44">
        <f t="shared" ref="D79:L79" si="33">D80</f>
        <v>40.4</v>
      </c>
      <c r="E79" s="44">
        <f t="shared" si="33"/>
        <v>0</v>
      </c>
      <c r="F79" s="44">
        <f t="shared" si="33"/>
        <v>0</v>
      </c>
      <c r="G79" s="44">
        <f t="shared" si="33"/>
        <v>0</v>
      </c>
      <c r="H79" s="44">
        <f t="shared" si="33"/>
        <v>40.4</v>
      </c>
      <c r="I79" s="44">
        <f t="shared" si="33"/>
        <v>40.4</v>
      </c>
      <c r="J79" s="44">
        <f t="shared" si="33"/>
        <v>0</v>
      </c>
      <c r="K79" s="44">
        <f t="shared" si="33"/>
        <v>0</v>
      </c>
      <c r="L79" s="44">
        <f t="shared" si="33"/>
        <v>0</v>
      </c>
      <c r="M79" s="44">
        <f>IFERROR(H79/C79*100,"-")</f>
        <v>100</v>
      </c>
      <c r="N79" s="44">
        <f>C79-H79</f>
        <v>0</v>
      </c>
      <c r="O79" s="44">
        <f>IFERROR(I79/D79*100,"-")</f>
        <v>100</v>
      </c>
      <c r="P79" s="44">
        <f>D79-I79</f>
        <v>0</v>
      </c>
      <c r="Q79" s="44" t="str">
        <f>IFERROR(J79/E79*100,"-")</f>
        <v>-</v>
      </c>
      <c r="R79" s="44">
        <f>E79-J79</f>
        <v>0</v>
      </c>
      <c r="S79" s="44" t="str">
        <f>IFERROR(K79/F79*100,"-")</f>
        <v>-</v>
      </c>
      <c r="T79" s="44">
        <f>F79-K79</f>
        <v>0</v>
      </c>
    </row>
    <row r="80" spans="1:20" ht="27" hidden="1" outlineLevel="3" x14ac:dyDescent="0.25">
      <c r="A80" s="87" t="s">
        <v>508</v>
      </c>
      <c r="B80" s="82" t="s">
        <v>312</v>
      </c>
      <c r="C80" s="44">
        <f t="shared" si="32"/>
        <v>40.4</v>
      </c>
      <c r="D80" s="44">
        <f>40.4</f>
        <v>40.4</v>
      </c>
      <c r="E80" s="44">
        <v>0</v>
      </c>
      <c r="F80" s="44">
        <v>0</v>
      </c>
      <c r="G80" s="44">
        <v>0</v>
      </c>
      <c r="H80" s="44">
        <f t="shared" si="9"/>
        <v>40.4</v>
      </c>
      <c r="I80" s="44">
        <f>40.4</f>
        <v>40.4</v>
      </c>
      <c r="J80" s="44">
        <v>0</v>
      </c>
      <c r="K80" s="44">
        <v>0</v>
      </c>
      <c r="L80" s="44">
        <v>0</v>
      </c>
      <c r="M80" s="44">
        <f t="shared" ref="M80:M91" si="34">IFERROR(H80/C80*100,"-")</f>
        <v>100</v>
      </c>
      <c r="N80" s="44">
        <f t="shared" si="1"/>
        <v>0</v>
      </c>
      <c r="O80" s="44">
        <f t="shared" ref="O80:O91" si="35">IFERROR(I80/D80*100,"-")</f>
        <v>100</v>
      </c>
      <c r="P80" s="44">
        <f t="shared" si="3"/>
        <v>0</v>
      </c>
      <c r="Q80" s="44" t="str">
        <f t="shared" ref="Q80:Q91" si="36">IFERROR(J80/E80*100,"-")</f>
        <v>-</v>
      </c>
      <c r="R80" s="44">
        <f t="shared" si="29"/>
        <v>0</v>
      </c>
      <c r="S80" s="44" t="str">
        <f t="shared" si="30"/>
        <v>-</v>
      </c>
      <c r="T80" s="44">
        <f t="shared" si="31"/>
        <v>0</v>
      </c>
    </row>
    <row r="81" spans="1:20" ht="13.5" hidden="1" customHeight="1" outlineLevel="3" x14ac:dyDescent="0.25">
      <c r="A81" s="87" t="s">
        <v>417</v>
      </c>
      <c r="B81" s="55" t="s">
        <v>313</v>
      </c>
      <c r="C81" s="44">
        <f t="shared" si="32"/>
        <v>50</v>
      </c>
      <c r="D81" s="44">
        <f>50</f>
        <v>50</v>
      </c>
      <c r="E81" s="44">
        <v>0</v>
      </c>
      <c r="F81" s="44">
        <v>0</v>
      </c>
      <c r="G81" s="44">
        <v>0</v>
      </c>
      <c r="H81" s="44">
        <f t="shared" si="9"/>
        <v>50</v>
      </c>
      <c r="I81" s="44">
        <f>50</f>
        <v>50</v>
      </c>
      <c r="J81" s="44">
        <v>0</v>
      </c>
      <c r="K81" s="44">
        <v>0</v>
      </c>
      <c r="L81" s="44">
        <v>0</v>
      </c>
      <c r="M81" s="44">
        <f t="shared" si="34"/>
        <v>100</v>
      </c>
      <c r="N81" s="44">
        <f t="shared" si="1"/>
        <v>0</v>
      </c>
      <c r="O81" s="44">
        <f t="shared" si="35"/>
        <v>100</v>
      </c>
      <c r="P81" s="44">
        <f t="shared" si="3"/>
        <v>0</v>
      </c>
      <c r="Q81" s="44" t="str">
        <f t="shared" si="36"/>
        <v>-</v>
      </c>
      <c r="R81" s="44">
        <f t="shared" si="29"/>
        <v>0</v>
      </c>
      <c r="S81" s="44" t="str">
        <f t="shared" si="30"/>
        <v>-</v>
      </c>
      <c r="T81" s="44">
        <f t="shared" si="31"/>
        <v>0</v>
      </c>
    </row>
    <row r="82" spans="1:20" ht="13.5" hidden="1" customHeight="1" outlineLevel="2" x14ac:dyDescent="0.25">
      <c r="A82" s="88" t="s">
        <v>78</v>
      </c>
      <c r="B82" s="46" t="s">
        <v>509</v>
      </c>
      <c r="C82" s="44">
        <f t="shared" si="32"/>
        <v>23159.1</v>
      </c>
      <c r="D82" s="44">
        <f>D83+D84+D96</f>
        <v>13766.7</v>
      </c>
      <c r="E82" s="44">
        <f>E83+E84+E96</f>
        <v>9392.4</v>
      </c>
      <c r="F82" s="44">
        <f>F83+F84+F96</f>
        <v>0</v>
      </c>
      <c r="G82" s="44">
        <f>G83+G84+G96</f>
        <v>0</v>
      </c>
      <c r="H82" s="44">
        <f t="shared" ref="H82:H108" si="37">SUM(I82:K82)</f>
        <v>23159.1</v>
      </c>
      <c r="I82" s="44">
        <f>I83+I84+I96</f>
        <v>13766.7</v>
      </c>
      <c r="J82" s="44">
        <f>J83+J84+J96</f>
        <v>9392.4</v>
      </c>
      <c r="K82" s="44">
        <f>K83+K84+K96</f>
        <v>0</v>
      </c>
      <c r="L82" s="44">
        <f>L83+L84+L96</f>
        <v>0</v>
      </c>
      <c r="M82" s="44">
        <f t="shared" si="34"/>
        <v>100</v>
      </c>
      <c r="N82" s="44">
        <f t="shared" si="1"/>
        <v>0</v>
      </c>
      <c r="O82" s="44">
        <f t="shared" si="35"/>
        <v>100</v>
      </c>
      <c r="P82" s="44">
        <f t="shared" si="3"/>
        <v>0</v>
      </c>
      <c r="Q82" s="44">
        <f t="shared" si="36"/>
        <v>100</v>
      </c>
      <c r="R82" s="44">
        <f t="shared" si="29"/>
        <v>0</v>
      </c>
      <c r="S82" s="44" t="str">
        <f t="shared" si="30"/>
        <v>-</v>
      </c>
      <c r="T82" s="44">
        <f t="shared" si="31"/>
        <v>0</v>
      </c>
    </row>
    <row r="83" spans="1:20" hidden="1" outlineLevel="3" x14ac:dyDescent="0.25">
      <c r="A83" s="88" t="s">
        <v>425</v>
      </c>
      <c r="B83" s="55" t="s">
        <v>314</v>
      </c>
      <c r="C83" s="44">
        <f t="shared" si="32"/>
        <v>22427.7</v>
      </c>
      <c r="D83" s="44">
        <f>13407.12062</f>
        <v>13407.1</v>
      </c>
      <c r="E83" s="44">
        <f>9020.58807</f>
        <v>9020.6</v>
      </c>
      <c r="F83" s="44">
        <v>0</v>
      </c>
      <c r="G83" s="44">
        <v>0</v>
      </c>
      <c r="H83" s="44">
        <f t="shared" si="37"/>
        <v>22427.7</v>
      </c>
      <c r="I83" s="44">
        <f>13407.12062</f>
        <v>13407.1</v>
      </c>
      <c r="J83" s="44">
        <f>9020.58807</f>
        <v>9020.6</v>
      </c>
      <c r="K83" s="44">
        <v>0</v>
      </c>
      <c r="L83" s="44">
        <v>0</v>
      </c>
      <c r="M83" s="44">
        <f t="shared" si="34"/>
        <v>100</v>
      </c>
      <c r="N83" s="44">
        <f t="shared" si="1"/>
        <v>0</v>
      </c>
      <c r="O83" s="44">
        <f t="shared" si="35"/>
        <v>100</v>
      </c>
      <c r="P83" s="44">
        <f t="shared" si="3"/>
        <v>0</v>
      </c>
      <c r="Q83" s="44">
        <f t="shared" si="36"/>
        <v>100</v>
      </c>
      <c r="R83" s="44">
        <f t="shared" si="29"/>
        <v>0</v>
      </c>
      <c r="S83" s="44" t="str">
        <f t="shared" si="30"/>
        <v>-</v>
      </c>
      <c r="T83" s="44">
        <f t="shared" si="31"/>
        <v>0</v>
      </c>
    </row>
    <row r="84" spans="1:20" hidden="1" outlineLevel="3" x14ac:dyDescent="0.25">
      <c r="A84" s="88" t="s">
        <v>426</v>
      </c>
      <c r="B84" s="55" t="s">
        <v>507</v>
      </c>
      <c r="C84" s="44">
        <f t="shared" si="32"/>
        <v>681.4</v>
      </c>
      <c r="D84" s="44">
        <f>SUM(D85:D95)</f>
        <v>309.60000000000002</v>
      </c>
      <c r="E84" s="44">
        <f>SUM(E85:E95)</f>
        <v>371.8</v>
      </c>
      <c r="F84" s="44">
        <f>SUM(F85:F95)</f>
        <v>0</v>
      </c>
      <c r="G84" s="44">
        <f>SUM(G85:G95)</f>
        <v>0</v>
      </c>
      <c r="H84" s="44">
        <f t="shared" si="37"/>
        <v>681.4</v>
      </c>
      <c r="I84" s="44">
        <f>SUM(I85:I95)</f>
        <v>309.60000000000002</v>
      </c>
      <c r="J84" s="44">
        <f>SUM(J85:J95)</f>
        <v>371.8</v>
      </c>
      <c r="K84" s="44">
        <f>SUM(K85:K95)</f>
        <v>0</v>
      </c>
      <c r="L84" s="44">
        <f>SUM(L85:L95)</f>
        <v>0</v>
      </c>
      <c r="M84" s="44"/>
      <c r="N84" s="44"/>
      <c r="O84" s="44"/>
      <c r="P84" s="44"/>
      <c r="Q84" s="44"/>
      <c r="R84" s="44"/>
      <c r="S84" s="44"/>
      <c r="T84" s="44"/>
    </row>
    <row r="85" spans="1:20" ht="27" hidden="1" customHeight="1" outlineLevel="3" x14ac:dyDescent="0.25">
      <c r="A85" s="88" t="s">
        <v>510</v>
      </c>
      <c r="B85" s="82" t="s">
        <v>315</v>
      </c>
      <c r="C85" s="44">
        <f t="shared" si="32"/>
        <v>90</v>
      </c>
      <c r="D85" s="44">
        <f>90</f>
        <v>90</v>
      </c>
      <c r="E85" s="44">
        <v>0</v>
      </c>
      <c r="F85" s="44">
        <v>0</v>
      </c>
      <c r="G85" s="44">
        <v>0</v>
      </c>
      <c r="H85" s="44">
        <f t="shared" si="37"/>
        <v>90</v>
      </c>
      <c r="I85" s="44">
        <f>90</f>
        <v>90</v>
      </c>
      <c r="J85" s="44">
        <v>0</v>
      </c>
      <c r="K85" s="44">
        <v>0</v>
      </c>
      <c r="L85" s="44">
        <v>0</v>
      </c>
      <c r="M85" s="44">
        <f t="shared" si="34"/>
        <v>100</v>
      </c>
      <c r="N85" s="44">
        <f t="shared" si="1"/>
        <v>0</v>
      </c>
      <c r="O85" s="44">
        <f t="shared" si="35"/>
        <v>100</v>
      </c>
      <c r="P85" s="44">
        <f t="shared" si="3"/>
        <v>0</v>
      </c>
      <c r="Q85" s="44" t="str">
        <f t="shared" si="36"/>
        <v>-</v>
      </c>
      <c r="R85" s="44">
        <f t="shared" si="29"/>
        <v>0</v>
      </c>
      <c r="S85" s="44" t="str">
        <f t="shared" si="30"/>
        <v>-</v>
      </c>
      <c r="T85" s="44">
        <f t="shared" si="31"/>
        <v>0</v>
      </c>
    </row>
    <row r="86" spans="1:20" ht="27" hidden="1" outlineLevel="3" x14ac:dyDescent="0.25">
      <c r="A86" s="89" t="s">
        <v>511</v>
      </c>
      <c r="B86" s="82" t="s">
        <v>316</v>
      </c>
      <c r="C86" s="44">
        <f t="shared" si="32"/>
        <v>34.6</v>
      </c>
      <c r="D86" s="44">
        <f>34.6</f>
        <v>34.6</v>
      </c>
      <c r="E86" s="44">
        <v>0</v>
      </c>
      <c r="F86" s="44">
        <v>0</v>
      </c>
      <c r="G86" s="44">
        <v>0</v>
      </c>
      <c r="H86" s="44">
        <f t="shared" si="37"/>
        <v>34.6</v>
      </c>
      <c r="I86" s="44">
        <f>34.6</f>
        <v>34.6</v>
      </c>
      <c r="J86" s="44">
        <v>0</v>
      </c>
      <c r="K86" s="44">
        <v>0</v>
      </c>
      <c r="L86" s="44">
        <v>0</v>
      </c>
      <c r="M86" s="44">
        <f t="shared" si="34"/>
        <v>100</v>
      </c>
      <c r="N86" s="44">
        <f t="shared" si="1"/>
        <v>0</v>
      </c>
      <c r="O86" s="44">
        <f t="shared" si="35"/>
        <v>100</v>
      </c>
      <c r="P86" s="44">
        <f t="shared" si="3"/>
        <v>0</v>
      </c>
      <c r="Q86" s="44" t="str">
        <f t="shared" si="36"/>
        <v>-</v>
      </c>
      <c r="R86" s="44">
        <f t="shared" si="29"/>
        <v>0</v>
      </c>
      <c r="S86" s="44" t="str">
        <f t="shared" si="30"/>
        <v>-</v>
      </c>
      <c r="T86" s="44">
        <f t="shared" si="31"/>
        <v>0</v>
      </c>
    </row>
    <row r="87" spans="1:20" ht="27" hidden="1" outlineLevel="3" x14ac:dyDescent="0.25">
      <c r="A87" s="89" t="s">
        <v>512</v>
      </c>
      <c r="B87" s="82" t="s">
        <v>117</v>
      </c>
      <c r="C87" s="44">
        <f t="shared" si="32"/>
        <v>55.4</v>
      </c>
      <c r="D87" s="44">
        <f>55.4</f>
        <v>55.4</v>
      </c>
      <c r="E87" s="44">
        <v>0</v>
      </c>
      <c r="F87" s="44">
        <v>0</v>
      </c>
      <c r="G87" s="44">
        <v>0</v>
      </c>
      <c r="H87" s="44">
        <f t="shared" si="37"/>
        <v>55.4</v>
      </c>
      <c r="I87" s="44">
        <f>55.4</f>
        <v>55.4</v>
      </c>
      <c r="J87" s="44">
        <v>0</v>
      </c>
      <c r="K87" s="44">
        <v>0</v>
      </c>
      <c r="L87" s="44">
        <v>0</v>
      </c>
      <c r="M87" s="44">
        <f t="shared" si="34"/>
        <v>100</v>
      </c>
      <c r="N87" s="44">
        <f t="shared" si="1"/>
        <v>0</v>
      </c>
      <c r="O87" s="44">
        <f t="shared" si="35"/>
        <v>100</v>
      </c>
      <c r="P87" s="44">
        <f t="shared" si="3"/>
        <v>0</v>
      </c>
      <c r="Q87" s="44" t="str">
        <f t="shared" si="36"/>
        <v>-</v>
      </c>
      <c r="R87" s="44">
        <f t="shared" si="29"/>
        <v>0</v>
      </c>
      <c r="S87" s="44" t="str">
        <f t="shared" si="30"/>
        <v>-</v>
      </c>
      <c r="T87" s="44">
        <f t="shared" si="31"/>
        <v>0</v>
      </c>
    </row>
    <row r="88" spans="1:20" ht="27" hidden="1" outlineLevel="3" x14ac:dyDescent="0.25">
      <c r="A88" s="89" t="s">
        <v>513</v>
      </c>
      <c r="B88" s="82" t="s">
        <v>317</v>
      </c>
      <c r="C88" s="44">
        <f t="shared" si="32"/>
        <v>20</v>
      </c>
      <c r="D88" s="44">
        <f>20</f>
        <v>20</v>
      </c>
      <c r="E88" s="44">
        <v>0</v>
      </c>
      <c r="F88" s="44">
        <v>0</v>
      </c>
      <c r="G88" s="44">
        <v>0</v>
      </c>
      <c r="H88" s="44">
        <f t="shared" si="37"/>
        <v>20</v>
      </c>
      <c r="I88" s="44">
        <f>20</f>
        <v>20</v>
      </c>
      <c r="J88" s="44">
        <v>0</v>
      </c>
      <c r="K88" s="44">
        <v>0</v>
      </c>
      <c r="L88" s="44">
        <v>0</v>
      </c>
      <c r="M88" s="44">
        <f t="shared" si="34"/>
        <v>100</v>
      </c>
      <c r="N88" s="44">
        <f t="shared" si="1"/>
        <v>0</v>
      </c>
      <c r="O88" s="44">
        <f t="shared" si="35"/>
        <v>100</v>
      </c>
      <c r="P88" s="44">
        <f t="shared" si="3"/>
        <v>0</v>
      </c>
      <c r="Q88" s="44" t="str">
        <f t="shared" si="36"/>
        <v>-</v>
      </c>
      <c r="R88" s="44">
        <f t="shared" si="29"/>
        <v>0</v>
      </c>
      <c r="S88" s="44" t="str">
        <f t="shared" si="30"/>
        <v>-</v>
      </c>
      <c r="T88" s="44">
        <f t="shared" si="31"/>
        <v>0</v>
      </c>
    </row>
    <row r="89" spans="1:20" ht="40.5" hidden="1" outlineLevel="3" x14ac:dyDescent="0.25">
      <c r="A89" s="88" t="s">
        <v>514</v>
      </c>
      <c r="B89" s="82" t="s">
        <v>118</v>
      </c>
      <c r="C89" s="44">
        <f t="shared" si="32"/>
        <v>25</v>
      </c>
      <c r="D89" s="44">
        <f>25</f>
        <v>25</v>
      </c>
      <c r="E89" s="44">
        <v>0</v>
      </c>
      <c r="F89" s="44">
        <v>0</v>
      </c>
      <c r="G89" s="44">
        <v>0</v>
      </c>
      <c r="H89" s="44">
        <f t="shared" si="37"/>
        <v>25</v>
      </c>
      <c r="I89" s="44">
        <f>25</f>
        <v>25</v>
      </c>
      <c r="J89" s="44">
        <v>0</v>
      </c>
      <c r="K89" s="44">
        <v>0</v>
      </c>
      <c r="L89" s="44">
        <v>0</v>
      </c>
      <c r="M89" s="44">
        <f t="shared" si="34"/>
        <v>100</v>
      </c>
      <c r="N89" s="44">
        <f t="shared" si="1"/>
        <v>0</v>
      </c>
      <c r="O89" s="44">
        <f t="shared" si="35"/>
        <v>100</v>
      </c>
      <c r="P89" s="44">
        <f t="shared" si="3"/>
        <v>0</v>
      </c>
      <c r="Q89" s="44" t="str">
        <f t="shared" si="36"/>
        <v>-</v>
      </c>
      <c r="R89" s="44">
        <f t="shared" si="29"/>
        <v>0</v>
      </c>
      <c r="S89" s="44" t="str">
        <f t="shared" si="30"/>
        <v>-</v>
      </c>
      <c r="T89" s="44">
        <f t="shared" si="31"/>
        <v>0</v>
      </c>
    </row>
    <row r="90" spans="1:20" ht="27" hidden="1" outlineLevel="3" x14ac:dyDescent="0.25">
      <c r="A90" s="88" t="s">
        <v>515</v>
      </c>
      <c r="B90" s="82" t="s">
        <v>516</v>
      </c>
      <c r="C90" s="44">
        <f>SUM(D90:F90)</f>
        <v>46.3</v>
      </c>
      <c r="D90" s="44">
        <v>46.3</v>
      </c>
      <c r="E90" s="44"/>
      <c r="F90" s="44"/>
      <c r="G90" s="44"/>
      <c r="H90" s="44">
        <f>SUM(I90:K90)</f>
        <v>46.3</v>
      </c>
      <c r="I90" s="44">
        <v>46.3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</row>
    <row r="91" spans="1:20" ht="27" hidden="1" outlineLevel="3" x14ac:dyDescent="0.25">
      <c r="A91" s="88" t="s">
        <v>517</v>
      </c>
      <c r="B91" s="82" t="s">
        <v>318</v>
      </c>
      <c r="C91" s="44">
        <f t="shared" si="32"/>
        <v>15</v>
      </c>
      <c r="D91" s="44">
        <f>15</f>
        <v>15</v>
      </c>
      <c r="E91" s="44">
        <v>0</v>
      </c>
      <c r="F91" s="44">
        <v>0</v>
      </c>
      <c r="G91" s="44">
        <v>0</v>
      </c>
      <c r="H91" s="44">
        <f t="shared" si="37"/>
        <v>15</v>
      </c>
      <c r="I91" s="44">
        <f>15</f>
        <v>15</v>
      </c>
      <c r="J91" s="44">
        <v>0</v>
      </c>
      <c r="K91" s="44">
        <v>0</v>
      </c>
      <c r="L91" s="44">
        <v>0</v>
      </c>
      <c r="M91" s="44">
        <f t="shared" si="34"/>
        <v>100</v>
      </c>
      <c r="N91" s="44">
        <f t="shared" si="1"/>
        <v>0</v>
      </c>
      <c r="O91" s="44">
        <f t="shared" si="35"/>
        <v>100</v>
      </c>
      <c r="P91" s="44">
        <f t="shared" si="3"/>
        <v>0</v>
      </c>
      <c r="Q91" s="44" t="str">
        <f t="shared" si="36"/>
        <v>-</v>
      </c>
      <c r="R91" s="44">
        <f t="shared" si="29"/>
        <v>0</v>
      </c>
      <c r="S91" s="44" t="str">
        <f t="shared" si="30"/>
        <v>-</v>
      </c>
      <c r="T91" s="44">
        <f t="shared" si="31"/>
        <v>0</v>
      </c>
    </row>
    <row r="92" spans="1:20" ht="27" hidden="1" outlineLevel="3" x14ac:dyDescent="0.25">
      <c r="A92" s="88" t="s">
        <v>518</v>
      </c>
      <c r="B92" s="82" t="s">
        <v>519</v>
      </c>
      <c r="C92" s="44">
        <f t="shared" si="32"/>
        <v>100</v>
      </c>
      <c r="D92" s="44">
        <v>0</v>
      </c>
      <c r="E92" s="44">
        <v>100</v>
      </c>
      <c r="F92" s="44">
        <v>0</v>
      </c>
      <c r="G92" s="44">
        <v>0</v>
      </c>
      <c r="H92" s="44">
        <f t="shared" si="37"/>
        <v>100</v>
      </c>
      <c r="I92" s="44">
        <v>0</v>
      </c>
      <c r="J92" s="44">
        <f>99.96754</f>
        <v>100</v>
      </c>
      <c r="K92" s="44">
        <v>0</v>
      </c>
      <c r="L92" s="44">
        <v>0</v>
      </c>
      <c r="M92" s="44">
        <f>IFERROR(H92/C92*100,"-")</f>
        <v>100</v>
      </c>
      <c r="N92" s="44">
        <f t="shared" si="1"/>
        <v>0</v>
      </c>
      <c r="O92" s="44" t="str">
        <f>IFERROR(I92/D92*100,"-")</f>
        <v>-</v>
      </c>
      <c r="P92" s="44">
        <f>D92-I92</f>
        <v>0</v>
      </c>
      <c r="Q92" s="44">
        <f>IFERROR(J92/E92*100,"-")</f>
        <v>100</v>
      </c>
      <c r="R92" s="44">
        <f>E92-J92</f>
        <v>0</v>
      </c>
      <c r="S92" s="44" t="str">
        <f>IFERROR(K92/F92*100,"-")</f>
        <v>-</v>
      </c>
      <c r="T92" s="44">
        <f>F92-K92</f>
        <v>0</v>
      </c>
    </row>
    <row r="93" spans="1:20" ht="40.5" hidden="1" outlineLevel="3" x14ac:dyDescent="0.25">
      <c r="A93" s="88" t="s">
        <v>520</v>
      </c>
      <c r="B93" s="82" t="s">
        <v>521</v>
      </c>
      <c r="C93" s="44">
        <f t="shared" si="32"/>
        <v>90</v>
      </c>
      <c r="D93" s="44">
        <v>0</v>
      </c>
      <c r="E93" s="44">
        <f>90</f>
        <v>90</v>
      </c>
      <c r="F93" s="44"/>
      <c r="G93" s="44"/>
      <c r="H93" s="44">
        <f t="shared" si="37"/>
        <v>90</v>
      </c>
      <c r="I93" s="44">
        <v>0</v>
      </c>
      <c r="J93" s="44">
        <f>90</f>
        <v>90</v>
      </c>
      <c r="K93" s="44"/>
      <c r="L93" s="44"/>
      <c r="M93" s="44">
        <f t="shared" ref="M93:M105" si="38">IFERROR(H93/C93*100,"-")</f>
        <v>100</v>
      </c>
      <c r="N93" s="44">
        <f t="shared" si="1"/>
        <v>0</v>
      </c>
      <c r="O93" s="44" t="str">
        <f t="shared" ref="O93:O105" si="39">IFERROR(I93/D93*100,"-")</f>
        <v>-</v>
      </c>
      <c r="P93" s="44">
        <f t="shared" ref="P93:P105" si="40">D93-I93</f>
        <v>0</v>
      </c>
      <c r="Q93" s="44">
        <f t="shared" ref="Q93:Q105" si="41">IFERROR(J93/E93*100,"-")</f>
        <v>100</v>
      </c>
      <c r="R93" s="44">
        <f t="shared" ref="R93:R156" si="42">E93-J93</f>
        <v>0</v>
      </c>
      <c r="S93" s="44" t="str">
        <f t="shared" ref="S93:S105" si="43">IFERROR(K93/F93*100,"-")</f>
        <v>-</v>
      </c>
      <c r="T93" s="44">
        <f t="shared" ref="T93:T105" si="44">F93-K93</f>
        <v>0</v>
      </c>
    </row>
    <row r="94" spans="1:20" ht="27" hidden="1" outlineLevel="3" x14ac:dyDescent="0.25">
      <c r="A94" s="88" t="s">
        <v>522</v>
      </c>
      <c r="B94" s="82" t="s">
        <v>523</v>
      </c>
      <c r="C94" s="44">
        <f t="shared" si="32"/>
        <v>50</v>
      </c>
      <c r="D94" s="44">
        <v>0</v>
      </c>
      <c r="E94" s="44">
        <f>50</f>
        <v>50</v>
      </c>
      <c r="F94" s="44"/>
      <c r="G94" s="44"/>
      <c r="H94" s="44">
        <f t="shared" si="37"/>
        <v>50</v>
      </c>
      <c r="I94" s="44">
        <v>0</v>
      </c>
      <c r="J94" s="44">
        <f>50</f>
        <v>50</v>
      </c>
      <c r="K94" s="44"/>
      <c r="L94" s="44"/>
      <c r="M94" s="44">
        <f t="shared" si="38"/>
        <v>100</v>
      </c>
      <c r="N94" s="44">
        <f t="shared" si="1"/>
        <v>0</v>
      </c>
      <c r="O94" s="44" t="str">
        <f t="shared" si="39"/>
        <v>-</v>
      </c>
      <c r="P94" s="44">
        <f t="shared" si="40"/>
        <v>0</v>
      </c>
      <c r="Q94" s="44">
        <f t="shared" si="41"/>
        <v>100</v>
      </c>
      <c r="R94" s="44">
        <f t="shared" si="42"/>
        <v>0</v>
      </c>
      <c r="S94" s="44" t="str">
        <f t="shared" si="43"/>
        <v>-</v>
      </c>
      <c r="T94" s="44">
        <f t="shared" si="44"/>
        <v>0</v>
      </c>
    </row>
    <row r="95" spans="1:20" ht="27" hidden="1" outlineLevel="3" x14ac:dyDescent="0.25">
      <c r="A95" s="88" t="s">
        <v>524</v>
      </c>
      <c r="B95" s="83" t="s">
        <v>377</v>
      </c>
      <c r="C95" s="44">
        <f t="shared" si="32"/>
        <v>155.1</v>
      </c>
      <c r="D95" s="44">
        <f>23.3</f>
        <v>23.3</v>
      </c>
      <c r="E95" s="44">
        <f>131.8</f>
        <v>131.80000000000001</v>
      </c>
      <c r="F95" s="44"/>
      <c r="G95" s="44"/>
      <c r="H95" s="44">
        <f t="shared" si="37"/>
        <v>155.1</v>
      </c>
      <c r="I95" s="44">
        <f>23.3</f>
        <v>23.3</v>
      </c>
      <c r="J95" s="44">
        <f>131.8</f>
        <v>131.80000000000001</v>
      </c>
      <c r="K95" s="44"/>
      <c r="L95" s="44"/>
      <c r="M95" s="44">
        <f t="shared" si="38"/>
        <v>100</v>
      </c>
      <c r="N95" s="44">
        <f t="shared" si="1"/>
        <v>0</v>
      </c>
      <c r="O95" s="44">
        <f t="shared" si="39"/>
        <v>100</v>
      </c>
      <c r="P95" s="44">
        <f t="shared" si="40"/>
        <v>0</v>
      </c>
      <c r="Q95" s="44">
        <f t="shared" si="41"/>
        <v>100</v>
      </c>
      <c r="R95" s="44">
        <f t="shared" si="42"/>
        <v>0</v>
      </c>
      <c r="S95" s="44" t="str">
        <f t="shared" si="43"/>
        <v>-</v>
      </c>
      <c r="T95" s="44">
        <f t="shared" si="44"/>
        <v>0</v>
      </c>
    </row>
    <row r="96" spans="1:20" hidden="1" outlineLevel="3" x14ac:dyDescent="0.25">
      <c r="A96" s="88" t="s">
        <v>427</v>
      </c>
      <c r="B96" s="55" t="s">
        <v>313</v>
      </c>
      <c r="C96" s="44">
        <f t="shared" si="32"/>
        <v>50</v>
      </c>
      <c r="D96" s="44">
        <f>50</f>
        <v>50</v>
      </c>
      <c r="E96" s="44">
        <v>0</v>
      </c>
      <c r="F96" s="44">
        <v>0</v>
      </c>
      <c r="G96" s="44">
        <v>0</v>
      </c>
      <c r="H96" s="44">
        <f t="shared" si="37"/>
        <v>50</v>
      </c>
      <c r="I96" s="44">
        <f>50</f>
        <v>50</v>
      </c>
      <c r="J96" s="44">
        <v>0</v>
      </c>
      <c r="K96" s="44">
        <v>0</v>
      </c>
      <c r="L96" s="44">
        <v>0</v>
      </c>
      <c r="M96" s="44">
        <f t="shared" si="38"/>
        <v>100</v>
      </c>
      <c r="N96" s="44">
        <f t="shared" si="1"/>
        <v>0</v>
      </c>
      <c r="O96" s="44">
        <f t="shared" si="39"/>
        <v>100</v>
      </c>
      <c r="P96" s="44">
        <f t="shared" si="40"/>
        <v>0</v>
      </c>
      <c r="Q96" s="44" t="str">
        <f t="shared" si="41"/>
        <v>-</v>
      </c>
      <c r="R96" s="44">
        <f t="shared" si="42"/>
        <v>0</v>
      </c>
      <c r="S96" s="44" t="str">
        <f t="shared" si="43"/>
        <v>-</v>
      </c>
      <c r="T96" s="44">
        <f t="shared" si="44"/>
        <v>0</v>
      </c>
    </row>
    <row r="97" spans="1:20" s="22" customFormat="1" ht="27" hidden="1" customHeight="1" outlineLevel="1" x14ac:dyDescent="0.25">
      <c r="A97" s="90"/>
      <c r="B97" s="58" t="s">
        <v>319</v>
      </c>
      <c r="C97" s="59">
        <f t="shared" si="32"/>
        <v>112208.8</v>
      </c>
      <c r="D97" s="59">
        <f>D98+D110</f>
        <v>75799.600000000006</v>
      </c>
      <c r="E97" s="59">
        <f>E98+E110</f>
        <v>36409.199999999997</v>
      </c>
      <c r="F97" s="59">
        <f>F98+F110</f>
        <v>0</v>
      </c>
      <c r="G97" s="59">
        <f>SUM(G98:G124)</f>
        <v>0</v>
      </c>
      <c r="H97" s="54">
        <f t="shared" si="37"/>
        <v>112208.8</v>
      </c>
      <c r="I97" s="54">
        <f>I98+I110</f>
        <v>75799.600000000006</v>
      </c>
      <c r="J97" s="54">
        <f>J98+J110</f>
        <v>36409.199999999997</v>
      </c>
      <c r="K97" s="54">
        <f>SUM(K98:K124)</f>
        <v>0</v>
      </c>
      <c r="L97" s="54">
        <f>SUM(L98:L124)</f>
        <v>0</v>
      </c>
      <c r="M97" s="59">
        <f t="shared" si="38"/>
        <v>100</v>
      </c>
      <c r="N97" s="59">
        <f>C97-H97</f>
        <v>0</v>
      </c>
      <c r="O97" s="59">
        <f t="shared" si="39"/>
        <v>100</v>
      </c>
      <c r="P97" s="59">
        <f t="shared" si="40"/>
        <v>0</v>
      </c>
      <c r="Q97" s="59">
        <f t="shared" si="41"/>
        <v>100</v>
      </c>
      <c r="R97" s="59">
        <f t="shared" si="42"/>
        <v>0</v>
      </c>
      <c r="S97" s="59" t="str">
        <f t="shared" si="43"/>
        <v>-</v>
      </c>
      <c r="T97" s="59">
        <f t="shared" si="44"/>
        <v>0</v>
      </c>
    </row>
    <row r="98" spans="1:20" ht="27" hidden="1" outlineLevel="2" x14ac:dyDescent="0.25">
      <c r="A98" s="88" t="s">
        <v>77</v>
      </c>
      <c r="B98" s="46" t="s">
        <v>525</v>
      </c>
      <c r="C98" s="44">
        <f t="shared" si="32"/>
        <v>42895.9</v>
      </c>
      <c r="D98" s="44">
        <f>D99+D100+D106</f>
        <v>32093.5</v>
      </c>
      <c r="E98" s="44">
        <f>E99+E100+E106</f>
        <v>10802.4</v>
      </c>
      <c r="F98" s="44">
        <f>F99+F100+F106</f>
        <v>0</v>
      </c>
      <c r="G98" s="44">
        <f>G99+G100+G106</f>
        <v>0</v>
      </c>
      <c r="H98" s="44">
        <f t="shared" si="37"/>
        <v>42895.9</v>
      </c>
      <c r="I98" s="44">
        <f>I99+I100+I106</f>
        <v>32093.5</v>
      </c>
      <c r="J98" s="44">
        <f>J99+J100+J106</f>
        <v>10802.4</v>
      </c>
      <c r="K98" s="44">
        <f>K99+K100+K106</f>
        <v>0</v>
      </c>
      <c r="L98" s="44">
        <f>L99+L100+L106</f>
        <v>0</v>
      </c>
      <c r="M98" s="44">
        <f t="shared" si="38"/>
        <v>100</v>
      </c>
      <c r="N98" s="44">
        <f>C98-H98</f>
        <v>0</v>
      </c>
      <c r="O98" s="44">
        <f t="shared" si="39"/>
        <v>100</v>
      </c>
      <c r="P98" s="44">
        <f t="shared" si="40"/>
        <v>0</v>
      </c>
      <c r="Q98" s="44">
        <f t="shared" si="41"/>
        <v>100</v>
      </c>
      <c r="R98" s="44">
        <f t="shared" si="42"/>
        <v>0</v>
      </c>
      <c r="S98" s="44" t="str">
        <f t="shared" si="43"/>
        <v>-</v>
      </c>
      <c r="T98" s="44">
        <f t="shared" si="44"/>
        <v>0</v>
      </c>
    </row>
    <row r="99" spans="1:20" hidden="1" outlineLevel="3" x14ac:dyDescent="0.25">
      <c r="A99" s="88" t="s">
        <v>414</v>
      </c>
      <c r="B99" s="55" t="s">
        <v>320</v>
      </c>
      <c r="C99" s="44">
        <f t="shared" si="32"/>
        <v>41990</v>
      </c>
      <c r="D99" s="44">
        <f>31602.04368-D105</f>
        <v>31290.9</v>
      </c>
      <c r="E99" s="44">
        <f>10699.1</f>
        <v>10699.1</v>
      </c>
      <c r="F99" s="44">
        <v>0</v>
      </c>
      <c r="G99" s="44">
        <v>0</v>
      </c>
      <c r="H99" s="44">
        <f t="shared" si="37"/>
        <v>41990</v>
      </c>
      <c r="I99" s="44">
        <f>31602.04368-I105</f>
        <v>31290.9</v>
      </c>
      <c r="J99" s="44">
        <f>10699.1</f>
        <v>10699.1</v>
      </c>
      <c r="K99" s="44">
        <v>0</v>
      </c>
      <c r="L99" s="44">
        <v>0</v>
      </c>
      <c r="M99" s="44">
        <f t="shared" si="38"/>
        <v>100</v>
      </c>
      <c r="N99" s="44">
        <f>C99-H99</f>
        <v>0</v>
      </c>
      <c r="O99" s="44">
        <f t="shared" si="39"/>
        <v>100</v>
      </c>
      <c r="P99" s="44">
        <f t="shared" si="40"/>
        <v>0</v>
      </c>
      <c r="Q99" s="44">
        <f t="shared" si="41"/>
        <v>100</v>
      </c>
      <c r="R99" s="44">
        <f t="shared" si="42"/>
        <v>0</v>
      </c>
      <c r="S99" s="44" t="str">
        <f t="shared" si="43"/>
        <v>-</v>
      </c>
      <c r="T99" s="44">
        <f t="shared" si="44"/>
        <v>0</v>
      </c>
    </row>
    <row r="100" spans="1:20" hidden="1" outlineLevel="3" x14ac:dyDescent="0.25">
      <c r="A100" s="88" t="s">
        <v>415</v>
      </c>
      <c r="B100" s="55" t="s">
        <v>507</v>
      </c>
      <c r="C100" s="44">
        <f t="shared" si="32"/>
        <v>543.29999999999995</v>
      </c>
      <c r="D100" s="44">
        <f>SUM(D101:D105)</f>
        <v>543.29999999999995</v>
      </c>
      <c r="E100" s="44">
        <f>SUM(E101:E105)</f>
        <v>0</v>
      </c>
      <c r="F100" s="44">
        <f>SUM(F101:F105)</f>
        <v>0</v>
      </c>
      <c r="G100" s="44">
        <f>SUM(G101:G105)</f>
        <v>0</v>
      </c>
      <c r="H100" s="44">
        <f t="shared" si="37"/>
        <v>543.29999999999995</v>
      </c>
      <c r="I100" s="44">
        <f>SUM(I101:I105)</f>
        <v>543.29999999999995</v>
      </c>
      <c r="J100" s="44">
        <f>SUM(J101:J105)</f>
        <v>0</v>
      </c>
      <c r="K100" s="44">
        <f>SUM(K101:K105)</f>
        <v>0</v>
      </c>
      <c r="L100" s="44">
        <f>SUM(L101:L105)</f>
        <v>0</v>
      </c>
      <c r="M100" s="44">
        <f t="shared" si="38"/>
        <v>100</v>
      </c>
      <c r="N100" s="44">
        <f>C100-H100</f>
        <v>0</v>
      </c>
      <c r="O100" s="44">
        <f t="shared" si="39"/>
        <v>100</v>
      </c>
      <c r="P100" s="44">
        <f t="shared" si="40"/>
        <v>0</v>
      </c>
      <c r="Q100" s="44" t="str">
        <f t="shared" si="41"/>
        <v>-</v>
      </c>
      <c r="R100" s="44">
        <f t="shared" si="42"/>
        <v>0</v>
      </c>
      <c r="S100" s="44" t="str">
        <f t="shared" si="43"/>
        <v>-</v>
      </c>
      <c r="T100" s="44">
        <f t="shared" si="44"/>
        <v>0</v>
      </c>
    </row>
    <row r="101" spans="1:20" ht="27" hidden="1" outlineLevel="3" x14ac:dyDescent="0.25">
      <c r="A101" s="88" t="s">
        <v>505</v>
      </c>
      <c r="B101" s="82" t="s">
        <v>526</v>
      </c>
      <c r="C101" s="44">
        <f t="shared" si="32"/>
        <v>100</v>
      </c>
      <c r="D101" s="44">
        <f>100</f>
        <v>100</v>
      </c>
      <c r="E101" s="44"/>
      <c r="F101" s="44"/>
      <c r="G101" s="44"/>
      <c r="H101" s="44">
        <f t="shared" si="37"/>
        <v>100</v>
      </c>
      <c r="I101" s="44">
        <f>100</f>
        <v>100</v>
      </c>
      <c r="J101" s="44">
        <v>0</v>
      </c>
      <c r="K101" s="44">
        <v>0</v>
      </c>
      <c r="L101" s="44">
        <v>0</v>
      </c>
      <c r="M101" s="44">
        <f t="shared" si="38"/>
        <v>100</v>
      </c>
      <c r="N101" s="44">
        <f>C101-H101</f>
        <v>0</v>
      </c>
      <c r="O101" s="44">
        <f t="shared" si="39"/>
        <v>100</v>
      </c>
      <c r="P101" s="44">
        <f t="shared" si="40"/>
        <v>0</v>
      </c>
      <c r="Q101" s="44" t="str">
        <f t="shared" si="41"/>
        <v>-</v>
      </c>
      <c r="R101" s="44">
        <f t="shared" si="42"/>
        <v>0</v>
      </c>
      <c r="S101" s="44" t="str">
        <f t="shared" si="43"/>
        <v>-</v>
      </c>
      <c r="T101" s="44">
        <f t="shared" si="44"/>
        <v>0</v>
      </c>
    </row>
    <row r="102" spans="1:20" ht="27" hidden="1" outlineLevel="3" x14ac:dyDescent="0.25">
      <c r="A102" s="88" t="s">
        <v>527</v>
      </c>
      <c r="B102" s="82" t="s">
        <v>378</v>
      </c>
      <c r="C102" s="44">
        <f t="shared" si="32"/>
        <v>55</v>
      </c>
      <c r="D102" s="44">
        <f>55</f>
        <v>55</v>
      </c>
      <c r="E102" s="44"/>
      <c r="F102" s="44"/>
      <c r="G102" s="44"/>
      <c r="H102" s="44">
        <f t="shared" si="37"/>
        <v>55</v>
      </c>
      <c r="I102" s="44">
        <f>55</f>
        <v>55</v>
      </c>
      <c r="J102" s="44">
        <v>0</v>
      </c>
      <c r="K102" s="44">
        <v>0</v>
      </c>
      <c r="L102" s="44">
        <v>0</v>
      </c>
      <c r="M102" s="44">
        <f t="shared" si="38"/>
        <v>100</v>
      </c>
      <c r="N102" s="44">
        <f t="shared" ref="N102:N157" si="45">C102-H102</f>
        <v>0</v>
      </c>
      <c r="O102" s="44">
        <f t="shared" si="39"/>
        <v>100</v>
      </c>
      <c r="P102" s="44">
        <f t="shared" si="40"/>
        <v>0</v>
      </c>
      <c r="Q102" s="44" t="str">
        <f t="shared" si="41"/>
        <v>-</v>
      </c>
      <c r="R102" s="44">
        <f t="shared" si="42"/>
        <v>0</v>
      </c>
      <c r="S102" s="44" t="str">
        <f t="shared" si="43"/>
        <v>-</v>
      </c>
      <c r="T102" s="44">
        <f t="shared" si="44"/>
        <v>0</v>
      </c>
    </row>
    <row r="103" spans="1:20" ht="27" hidden="1" outlineLevel="3" x14ac:dyDescent="0.25">
      <c r="A103" s="88" t="s">
        <v>528</v>
      </c>
      <c r="B103" s="82" t="s">
        <v>516</v>
      </c>
      <c r="C103" s="44">
        <f t="shared" si="32"/>
        <v>7.2</v>
      </c>
      <c r="D103" s="44">
        <f>7.2</f>
        <v>7.2</v>
      </c>
      <c r="E103" s="44"/>
      <c r="F103" s="44"/>
      <c r="G103" s="44"/>
      <c r="H103" s="44">
        <f t="shared" si="37"/>
        <v>7.2</v>
      </c>
      <c r="I103" s="44">
        <f>7.2</f>
        <v>7.2</v>
      </c>
      <c r="J103" s="44"/>
      <c r="K103" s="44"/>
      <c r="L103" s="44"/>
      <c r="M103" s="44">
        <f t="shared" si="38"/>
        <v>100</v>
      </c>
      <c r="N103" s="44">
        <f t="shared" si="45"/>
        <v>0</v>
      </c>
      <c r="O103" s="44">
        <f t="shared" si="39"/>
        <v>100</v>
      </c>
      <c r="P103" s="44">
        <f t="shared" si="40"/>
        <v>0</v>
      </c>
      <c r="Q103" s="44" t="str">
        <f t="shared" si="41"/>
        <v>-</v>
      </c>
      <c r="R103" s="44">
        <f t="shared" si="42"/>
        <v>0</v>
      </c>
      <c r="S103" s="44" t="str">
        <f t="shared" si="43"/>
        <v>-</v>
      </c>
      <c r="T103" s="44">
        <f t="shared" si="44"/>
        <v>0</v>
      </c>
    </row>
    <row r="104" spans="1:20" ht="27" hidden="1" outlineLevel="3" x14ac:dyDescent="0.25">
      <c r="A104" s="88" t="s">
        <v>529</v>
      </c>
      <c r="B104" s="82" t="s">
        <v>530</v>
      </c>
      <c r="C104" s="44">
        <f t="shared" si="32"/>
        <v>70</v>
      </c>
      <c r="D104" s="44">
        <f>70</f>
        <v>70</v>
      </c>
      <c r="E104" s="44"/>
      <c r="F104" s="44"/>
      <c r="G104" s="44"/>
      <c r="H104" s="44">
        <f t="shared" si="37"/>
        <v>70</v>
      </c>
      <c r="I104" s="44">
        <f>70</f>
        <v>70</v>
      </c>
      <c r="J104" s="44">
        <v>0</v>
      </c>
      <c r="K104" s="44">
        <v>0</v>
      </c>
      <c r="L104" s="44">
        <v>0</v>
      </c>
      <c r="M104" s="44">
        <f t="shared" si="38"/>
        <v>100</v>
      </c>
      <c r="N104" s="44">
        <f t="shared" si="45"/>
        <v>0</v>
      </c>
      <c r="O104" s="44">
        <f t="shared" si="39"/>
        <v>100</v>
      </c>
      <c r="P104" s="44">
        <f t="shared" si="40"/>
        <v>0</v>
      </c>
      <c r="Q104" s="44" t="str">
        <f t="shared" si="41"/>
        <v>-</v>
      </c>
      <c r="R104" s="44">
        <f t="shared" si="42"/>
        <v>0</v>
      </c>
      <c r="S104" s="44" t="str">
        <f t="shared" si="43"/>
        <v>-</v>
      </c>
      <c r="T104" s="44">
        <f t="shared" si="44"/>
        <v>0</v>
      </c>
    </row>
    <row r="105" spans="1:20" ht="27" hidden="1" outlineLevel="3" x14ac:dyDescent="0.25">
      <c r="A105" s="88" t="s">
        <v>531</v>
      </c>
      <c r="B105" s="83" t="s">
        <v>532</v>
      </c>
      <c r="C105" s="44">
        <f t="shared" si="32"/>
        <v>311.10000000000002</v>
      </c>
      <c r="D105" s="44">
        <f>311.152-0.1</f>
        <v>311.10000000000002</v>
      </c>
      <c r="E105" s="44"/>
      <c r="F105" s="44"/>
      <c r="G105" s="44"/>
      <c r="H105" s="44">
        <f t="shared" si="37"/>
        <v>311.10000000000002</v>
      </c>
      <c r="I105" s="44">
        <f>311.152-0.1</f>
        <v>311.10000000000002</v>
      </c>
      <c r="J105" s="44"/>
      <c r="K105" s="44"/>
      <c r="L105" s="44"/>
      <c r="M105" s="44">
        <f t="shared" si="38"/>
        <v>100</v>
      </c>
      <c r="N105" s="44">
        <f t="shared" si="45"/>
        <v>0</v>
      </c>
      <c r="O105" s="44">
        <f t="shared" si="39"/>
        <v>100</v>
      </c>
      <c r="P105" s="44">
        <f t="shared" si="40"/>
        <v>0</v>
      </c>
      <c r="Q105" s="44" t="str">
        <f t="shared" si="41"/>
        <v>-</v>
      </c>
      <c r="R105" s="44">
        <f t="shared" si="42"/>
        <v>0</v>
      </c>
      <c r="S105" s="44" t="str">
        <f t="shared" si="43"/>
        <v>-</v>
      </c>
      <c r="T105" s="44">
        <f t="shared" si="44"/>
        <v>0</v>
      </c>
    </row>
    <row r="106" spans="1:20" hidden="1" outlineLevel="3" x14ac:dyDescent="0.25">
      <c r="A106" s="88" t="s">
        <v>416</v>
      </c>
      <c r="B106" s="84" t="s">
        <v>313</v>
      </c>
      <c r="C106" s="44">
        <f t="shared" si="32"/>
        <v>362.6</v>
      </c>
      <c r="D106" s="44">
        <f>SUM(D107:D109)</f>
        <v>259.3</v>
      </c>
      <c r="E106" s="44">
        <f>SUM(E107:E109)</f>
        <v>103.3</v>
      </c>
      <c r="F106" s="44">
        <f>SUM(F107:F109)</f>
        <v>0</v>
      </c>
      <c r="G106" s="44">
        <f>SUM(G107:G109)</f>
        <v>0</v>
      </c>
      <c r="H106" s="44">
        <f t="shared" si="37"/>
        <v>362.6</v>
      </c>
      <c r="I106" s="44">
        <f>SUM(I107:I109)</f>
        <v>259.3</v>
      </c>
      <c r="J106" s="44">
        <f>SUM(J107:J109)</f>
        <v>103.3</v>
      </c>
      <c r="K106" s="44">
        <f>SUM(K107:K109)</f>
        <v>0</v>
      </c>
      <c r="L106" s="44">
        <f>SUM(L107:L109)</f>
        <v>0</v>
      </c>
      <c r="M106" s="44"/>
      <c r="N106" s="44"/>
      <c r="O106" s="44"/>
      <c r="P106" s="44"/>
      <c r="Q106" s="44"/>
      <c r="R106" s="44"/>
      <c r="S106" s="44"/>
      <c r="T106" s="44"/>
    </row>
    <row r="107" spans="1:20" ht="27" hidden="1" outlineLevel="3" x14ac:dyDescent="0.25">
      <c r="A107" s="88" t="s">
        <v>533</v>
      </c>
      <c r="B107" s="55" t="s">
        <v>285</v>
      </c>
      <c r="C107" s="44">
        <f t="shared" si="32"/>
        <v>233.4</v>
      </c>
      <c r="D107" s="44">
        <f>233.4</f>
        <v>233.4</v>
      </c>
      <c r="E107" s="44"/>
      <c r="F107" s="44"/>
      <c r="G107" s="44"/>
      <c r="H107" s="44">
        <f t="shared" si="37"/>
        <v>233.4</v>
      </c>
      <c r="I107" s="44">
        <f>233.4</f>
        <v>233.4</v>
      </c>
      <c r="J107" s="44"/>
      <c r="K107" s="44"/>
      <c r="L107" s="44"/>
      <c r="M107" s="44">
        <f t="shared" ref="M107:M164" si="46">IFERROR(H107/C107*100,"-")</f>
        <v>100</v>
      </c>
      <c r="N107" s="44">
        <f>C107-H107</f>
        <v>0</v>
      </c>
      <c r="O107" s="44">
        <f t="shared" ref="O107:O164" si="47">IFERROR(I107/D107*100,"-")</f>
        <v>100</v>
      </c>
      <c r="P107" s="44">
        <f t="shared" ref="P107:P164" si="48">D107-I107</f>
        <v>0</v>
      </c>
      <c r="Q107" s="44" t="str">
        <f t="shared" ref="Q107:Q164" si="49">IFERROR(J107/E107*100,"-")</f>
        <v>-</v>
      </c>
      <c r="R107" s="44">
        <f>E107-J107</f>
        <v>0</v>
      </c>
      <c r="S107" s="44" t="str">
        <f t="shared" ref="S107:S164" si="50">IFERROR(K107/F107*100,"-")</f>
        <v>-</v>
      </c>
      <c r="T107" s="44">
        <f t="shared" ref="T107:T164" si="51">F107-K107</f>
        <v>0</v>
      </c>
    </row>
    <row r="108" spans="1:20" ht="27" hidden="1" outlineLevel="3" x14ac:dyDescent="0.25">
      <c r="A108" s="88" t="s">
        <v>534</v>
      </c>
      <c r="B108" s="55" t="s">
        <v>8</v>
      </c>
      <c r="C108" s="44">
        <f t="shared" si="32"/>
        <v>25.9</v>
      </c>
      <c r="D108" s="44">
        <f>25.9</f>
        <v>25.9</v>
      </c>
      <c r="E108" s="44"/>
      <c r="F108" s="44"/>
      <c r="G108" s="44"/>
      <c r="H108" s="44">
        <f t="shared" si="37"/>
        <v>25.9</v>
      </c>
      <c r="I108" s="44">
        <f>25.9</f>
        <v>25.9</v>
      </c>
      <c r="J108" s="44"/>
      <c r="K108" s="44"/>
      <c r="L108" s="44"/>
      <c r="M108" s="44">
        <f t="shared" si="46"/>
        <v>100</v>
      </c>
      <c r="N108" s="44">
        <f t="shared" si="45"/>
        <v>0</v>
      </c>
      <c r="O108" s="44">
        <f t="shared" si="47"/>
        <v>100</v>
      </c>
      <c r="P108" s="44">
        <f t="shared" si="48"/>
        <v>0</v>
      </c>
      <c r="Q108" s="44" t="str">
        <f t="shared" si="49"/>
        <v>-</v>
      </c>
      <c r="R108" s="44">
        <f t="shared" si="42"/>
        <v>0</v>
      </c>
      <c r="S108" s="44" t="str">
        <f t="shared" si="50"/>
        <v>-</v>
      </c>
      <c r="T108" s="44">
        <f t="shared" si="51"/>
        <v>0</v>
      </c>
    </row>
    <row r="109" spans="1:20" ht="67.5" hidden="1" outlineLevel="3" x14ac:dyDescent="0.25">
      <c r="A109" s="88" t="s">
        <v>535</v>
      </c>
      <c r="B109" s="55" t="s">
        <v>402</v>
      </c>
      <c r="C109" s="44">
        <f t="shared" si="32"/>
        <v>103.3</v>
      </c>
      <c r="D109" s="44"/>
      <c r="E109" s="44">
        <f>103.3</f>
        <v>103.3</v>
      </c>
      <c r="F109" s="44"/>
      <c r="G109" s="44"/>
      <c r="H109" s="44">
        <f t="shared" ref="H109:H148" si="52">SUM(I109:K109)</f>
        <v>103.3</v>
      </c>
      <c r="I109" s="44"/>
      <c r="J109" s="44">
        <f>103.3</f>
        <v>103.3</v>
      </c>
      <c r="K109" s="44"/>
      <c r="L109" s="44"/>
      <c r="M109" s="44">
        <f t="shared" si="46"/>
        <v>100</v>
      </c>
      <c r="N109" s="44">
        <f t="shared" si="45"/>
        <v>0</v>
      </c>
      <c r="O109" s="44" t="str">
        <f t="shared" si="47"/>
        <v>-</v>
      </c>
      <c r="P109" s="44">
        <f t="shared" si="48"/>
        <v>0</v>
      </c>
      <c r="Q109" s="44">
        <f t="shared" si="49"/>
        <v>100</v>
      </c>
      <c r="R109" s="44">
        <f t="shared" si="42"/>
        <v>0</v>
      </c>
      <c r="S109" s="44" t="str">
        <f t="shared" si="50"/>
        <v>-</v>
      </c>
      <c r="T109" s="44">
        <f t="shared" si="51"/>
        <v>0</v>
      </c>
    </row>
    <row r="110" spans="1:20" ht="27" hidden="1" customHeight="1" outlineLevel="2" x14ac:dyDescent="0.25">
      <c r="A110" s="88" t="s">
        <v>78</v>
      </c>
      <c r="B110" s="46" t="s">
        <v>536</v>
      </c>
      <c r="C110" s="44">
        <f t="shared" si="32"/>
        <v>69312.899999999994</v>
      </c>
      <c r="D110" s="44">
        <f>D111+D112+D125</f>
        <v>43706.1</v>
      </c>
      <c r="E110" s="44">
        <f>E111+E112+E125</f>
        <v>25606.799999999999</v>
      </c>
      <c r="F110" s="44">
        <f>F111+F112+F125</f>
        <v>0</v>
      </c>
      <c r="G110" s="44">
        <f>G111+G112+G125</f>
        <v>0</v>
      </c>
      <c r="H110" s="44">
        <f t="shared" si="52"/>
        <v>69312.899999999994</v>
      </c>
      <c r="I110" s="44">
        <f>I111+I112+I125</f>
        <v>43706.1</v>
      </c>
      <c r="J110" s="44">
        <f>J111+J112+J125</f>
        <v>25606.799999999999</v>
      </c>
      <c r="K110" s="44">
        <f>K111+K112+K125</f>
        <v>0</v>
      </c>
      <c r="L110" s="44">
        <f>L111+L112+L125</f>
        <v>0</v>
      </c>
      <c r="M110" s="44">
        <f t="shared" si="46"/>
        <v>100</v>
      </c>
      <c r="N110" s="44">
        <f t="shared" si="45"/>
        <v>0</v>
      </c>
      <c r="O110" s="44">
        <f t="shared" si="47"/>
        <v>100</v>
      </c>
      <c r="P110" s="44">
        <f t="shared" si="48"/>
        <v>0</v>
      </c>
      <c r="Q110" s="44">
        <f t="shared" si="49"/>
        <v>100</v>
      </c>
      <c r="R110" s="44">
        <f t="shared" si="42"/>
        <v>0</v>
      </c>
      <c r="S110" s="44" t="str">
        <f t="shared" si="50"/>
        <v>-</v>
      </c>
      <c r="T110" s="44">
        <f t="shared" si="51"/>
        <v>0</v>
      </c>
    </row>
    <row r="111" spans="1:20" ht="81" hidden="1" outlineLevel="3" x14ac:dyDescent="0.25">
      <c r="A111" s="88" t="s">
        <v>425</v>
      </c>
      <c r="B111" s="55" t="s">
        <v>537</v>
      </c>
      <c r="C111" s="44">
        <f t="shared" si="32"/>
        <v>67622.100000000006</v>
      </c>
      <c r="D111" s="44">
        <f>42535.34145</f>
        <v>42535.3</v>
      </c>
      <c r="E111" s="44">
        <f>25086.75521</f>
        <v>25086.799999999999</v>
      </c>
      <c r="F111" s="44">
        <v>0</v>
      </c>
      <c r="G111" s="44">
        <v>0</v>
      </c>
      <c r="H111" s="44">
        <f t="shared" si="52"/>
        <v>67622.100000000006</v>
      </c>
      <c r="I111" s="44">
        <f>42535.34145</f>
        <v>42535.3</v>
      </c>
      <c r="J111" s="44">
        <f>25086.75521</f>
        <v>25086.799999999999</v>
      </c>
      <c r="K111" s="44">
        <v>0</v>
      </c>
      <c r="L111" s="44">
        <v>0</v>
      </c>
      <c r="M111" s="44">
        <f t="shared" si="46"/>
        <v>100</v>
      </c>
      <c r="N111" s="44">
        <f t="shared" si="45"/>
        <v>0</v>
      </c>
      <c r="O111" s="44">
        <f t="shared" si="47"/>
        <v>100</v>
      </c>
      <c r="P111" s="44">
        <f t="shared" si="48"/>
        <v>0</v>
      </c>
      <c r="Q111" s="44">
        <f t="shared" si="49"/>
        <v>100</v>
      </c>
      <c r="R111" s="44">
        <f t="shared" si="42"/>
        <v>0</v>
      </c>
      <c r="S111" s="44" t="str">
        <f t="shared" si="50"/>
        <v>-</v>
      </c>
      <c r="T111" s="44">
        <f t="shared" si="51"/>
        <v>0</v>
      </c>
    </row>
    <row r="112" spans="1:20" hidden="1" outlineLevel="3" x14ac:dyDescent="0.25">
      <c r="A112" s="88" t="s">
        <v>426</v>
      </c>
      <c r="B112" s="55" t="s">
        <v>507</v>
      </c>
      <c r="C112" s="44">
        <f t="shared" si="32"/>
        <v>1590.8</v>
      </c>
      <c r="D112" s="44">
        <f>SUM(D113:D124)</f>
        <v>1070.8</v>
      </c>
      <c r="E112" s="44">
        <f>SUM(E113:E124)</f>
        <v>520</v>
      </c>
      <c r="F112" s="44">
        <f>SUM(F113:F124)</f>
        <v>0</v>
      </c>
      <c r="G112" s="44">
        <f>SUM(G113:G124)</f>
        <v>0</v>
      </c>
      <c r="H112" s="44">
        <f t="shared" si="52"/>
        <v>1590.8</v>
      </c>
      <c r="I112" s="44">
        <f>SUM(I113:I124)</f>
        <v>1070.8</v>
      </c>
      <c r="J112" s="44">
        <f>SUM(J113:J124)</f>
        <v>520</v>
      </c>
      <c r="K112" s="44">
        <f>SUM(K113:K124)</f>
        <v>0</v>
      </c>
      <c r="L112" s="44">
        <f>SUM(L113:L124)</f>
        <v>0</v>
      </c>
      <c r="M112" s="44"/>
      <c r="N112" s="44"/>
      <c r="O112" s="44"/>
      <c r="P112" s="44"/>
      <c r="Q112" s="44"/>
      <c r="R112" s="44"/>
      <c r="S112" s="44"/>
      <c r="T112" s="44"/>
    </row>
    <row r="113" spans="1:20" ht="27" hidden="1" outlineLevel="3" x14ac:dyDescent="0.25">
      <c r="A113" s="88" t="s">
        <v>510</v>
      </c>
      <c r="B113" s="82" t="s">
        <v>16</v>
      </c>
      <c r="C113" s="44">
        <f t="shared" si="32"/>
        <v>100</v>
      </c>
      <c r="D113" s="44">
        <f>100</f>
        <v>100</v>
      </c>
      <c r="E113" s="44">
        <v>0</v>
      </c>
      <c r="F113" s="44">
        <v>0</v>
      </c>
      <c r="G113" s="44">
        <v>0</v>
      </c>
      <c r="H113" s="44">
        <f t="shared" si="52"/>
        <v>100</v>
      </c>
      <c r="I113" s="44">
        <f>100</f>
        <v>100</v>
      </c>
      <c r="J113" s="44">
        <v>0</v>
      </c>
      <c r="K113" s="44">
        <v>0</v>
      </c>
      <c r="L113" s="44">
        <v>0</v>
      </c>
      <c r="M113" s="44">
        <f t="shared" si="46"/>
        <v>100</v>
      </c>
      <c r="N113" s="44">
        <f t="shared" si="45"/>
        <v>0</v>
      </c>
      <c r="O113" s="44">
        <f t="shared" si="47"/>
        <v>100</v>
      </c>
      <c r="P113" s="44">
        <f t="shared" si="48"/>
        <v>0</v>
      </c>
      <c r="Q113" s="44" t="str">
        <f t="shared" si="49"/>
        <v>-</v>
      </c>
      <c r="R113" s="44">
        <f t="shared" si="42"/>
        <v>0</v>
      </c>
      <c r="S113" s="44" t="str">
        <f t="shared" si="50"/>
        <v>-</v>
      </c>
      <c r="T113" s="44">
        <f t="shared" si="51"/>
        <v>0</v>
      </c>
    </row>
    <row r="114" spans="1:20" ht="27" hidden="1" outlineLevel="3" x14ac:dyDescent="0.25">
      <c r="A114" s="88" t="s">
        <v>511</v>
      </c>
      <c r="B114" s="82" t="s">
        <v>17</v>
      </c>
      <c r="C114" s="44">
        <f t="shared" si="32"/>
        <v>40</v>
      </c>
      <c r="D114" s="44">
        <f>40</f>
        <v>40</v>
      </c>
      <c r="E114" s="44">
        <v>0</v>
      </c>
      <c r="F114" s="44">
        <v>0</v>
      </c>
      <c r="G114" s="44">
        <v>0</v>
      </c>
      <c r="H114" s="44">
        <f t="shared" si="52"/>
        <v>40</v>
      </c>
      <c r="I114" s="44">
        <f>40</f>
        <v>40</v>
      </c>
      <c r="J114" s="44">
        <v>0</v>
      </c>
      <c r="K114" s="44">
        <v>0</v>
      </c>
      <c r="L114" s="44">
        <v>0</v>
      </c>
      <c r="M114" s="44">
        <f t="shared" si="46"/>
        <v>100</v>
      </c>
      <c r="N114" s="44">
        <f t="shared" si="45"/>
        <v>0</v>
      </c>
      <c r="O114" s="44">
        <f t="shared" si="47"/>
        <v>100</v>
      </c>
      <c r="P114" s="44">
        <f t="shared" si="48"/>
        <v>0</v>
      </c>
      <c r="Q114" s="44" t="str">
        <f t="shared" si="49"/>
        <v>-</v>
      </c>
      <c r="R114" s="44">
        <f t="shared" si="42"/>
        <v>0</v>
      </c>
      <c r="S114" s="44" t="str">
        <f t="shared" si="50"/>
        <v>-</v>
      </c>
      <c r="T114" s="44">
        <f t="shared" si="51"/>
        <v>0</v>
      </c>
    </row>
    <row r="115" spans="1:20" ht="27" hidden="1" outlineLevel="3" x14ac:dyDescent="0.25">
      <c r="A115" s="88" t="s">
        <v>512</v>
      </c>
      <c r="B115" s="82" t="s">
        <v>18</v>
      </c>
      <c r="C115" s="44">
        <f t="shared" si="32"/>
        <v>200</v>
      </c>
      <c r="D115" s="44">
        <f>200</f>
        <v>200</v>
      </c>
      <c r="E115" s="44">
        <v>0</v>
      </c>
      <c r="F115" s="44">
        <v>0</v>
      </c>
      <c r="G115" s="44">
        <v>0</v>
      </c>
      <c r="H115" s="44">
        <f t="shared" si="52"/>
        <v>200</v>
      </c>
      <c r="I115" s="44">
        <f>200</f>
        <v>200</v>
      </c>
      <c r="J115" s="44">
        <v>0</v>
      </c>
      <c r="K115" s="44">
        <v>0</v>
      </c>
      <c r="L115" s="44">
        <v>0</v>
      </c>
      <c r="M115" s="44">
        <f t="shared" si="46"/>
        <v>100</v>
      </c>
      <c r="N115" s="44">
        <f t="shared" si="45"/>
        <v>0</v>
      </c>
      <c r="O115" s="44">
        <f t="shared" si="47"/>
        <v>100</v>
      </c>
      <c r="P115" s="44">
        <f t="shared" si="48"/>
        <v>0</v>
      </c>
      <c r="Q115" s="44" t="str">
        <f t="shared" si="49"/>
        <v>-</v>
      </c>
      <c r="R115" s="44">
        <f t="shared" si="42"/>
        <v>0</v>
      </c>
      <c r="S115" s="44" t="str">
        <f t="shared" si="50"/>
        <v>-</v>
      </c>
      <c r="T115" s="44">
        <f t="shared" si="51"/>
        <v>0</v>
      </c>
    </row>
    <row r="116" spans="1:20" ht="27" hidden="1" customHeight="1" outlineLevel="3" x14ac:dyDescent="0.25">
      <c r="A116" s="88" t="s">
        <v>513</v>
      </c>
      <c r="B116" s="82" t="s">
        <v>19</v>
      </c>
      <c r="C116" s="44">
        <f t="shared" ref="C116:C164" si="53">SUM(D116:F116)</f>
        <v>110</v>
      </c>
      <c r="D116" s="44">
        <f>110</f>
        <v>110</v>
      </c>
      <c r="E116" s="44">
        <v>0</v>
      </c>
      <c r="F116" s="44">
        <v>0</v>
      </c>
      <c r="G116" s="44">
        <v>0</v>
      </c>
      <c r="H116" s="44">
        <f t="shared" si="52"/>
        <v>110</v>
      </c>
      <c r="I116" s="44">
        <f>110</f>
        <v>110</v>
      </c>
      <c r="J116" s="44">
        <v>0</v>
      </c>
      <c r="K116" s="44">
        <v>0</v>
      </c>
      <c r="L116" s="44">
        <v>0</v>
      </c>
      <c r="M116" s="44">
        <f t="shared" si="46"/>
        <v>100</v>
      </c>
      <c r="N116" s="44">
        <f t="shared" si="45"/>
        <v>0</v>
      </c>
      <c r="O116" s="44">
        <f t="shared" si="47"/>
        <v>100</v>
      </c>
      <c r="P116" s="44">
        <f t="shared" si="48"/>
        <v>0</v>
      </c>
      <c r="Q116" s="44" t="str">
        <f t="shared" si="49"/>
        <v>-</v>
      </c>
      <c r="R116" s="44">
        <f t="shared" si="42"/>
        <v>0</v>
      </c>
      <c r="S116" s="44" t="str">
        <f t="shared" si="50"/>
        <v>-</v>
      </c>
      <c r="T116" s="44">
        <f t="shared" si="51"/>
        <v>0</v>
      </c>
    </row>
    <row r="117" spans="1:20" ht="27" hidden="1" outlineLevel="3" x14ac:dyDescent="0.25">
      <c r="A117" s="88" t="s">
        <v>515</v>
      </c>
      <c r="B117" s="82" t="s">
        <v>516</v>
      </c>
      <c r="C117" s="44">
        <f t="shared" si="53"/>
        <v>80</v>
      </c>
      <c r="D117" s="44">
        <f>80</f>
        <v>80</v>
      </c>
      <c r="E117" s="44"/>
      <c r="F117" s="44"/>
      <c r="G117" s="44"/>
      <c r="H117" s="44">
        <f t="shared" si="52"/>
        <v>80</v>
      </c>
      <c r="I117" s="44">
        <f>80</f>
        <v>80</v>
      </c>
      <c r="J117" s="44"/>
      <c r="K117" s="44"/>
      <c r="L117" s="44"/>
      <c r="M117" s="44">
        <f t="shared" si="46"/>
        <v>100</v>
      </c>
      <c r="N117" s="44">
        <f t="shared" si="45"/>
        <v>0</v>
      </c>
      <c r="O117" s="44">
        <f t="shared" si="47"/>
        <v>100</v>
      </c>
      <c r="P117" s="44">
        <f t="shared" si="48"/>
        <v>0</v>
      </c>
      <c r="Q117" s="44" t="str">
        <f t="shared" si="49"/>
        <v>-</v>
      </c>
      <c r="R117" s="44">
        <f t="shared" si="42"/>
        <v>0</v>
      </c>
      <c r="S117" s="44" t="str">
        <f t="shared" si="50"/>
        <v>-</v>
      </c>
      <c r="T117" s="44">
        <f t="shared" si="51"/>
        <v>0</v>
      </c>
    </row>
    <row r="118" spans="1:20" ht="40.5" hidden="1" outlineLevel="3" x14ac:dyDescent="0.25">
      <c r="A118" s="88" t="s">
        <v>538</v>
      </c>
      <c r="B118" s="82" t="s">
        <v>539</v>
      </c>
      <c r="C118" s="44">
        <f t="shared" si="53"/>
        <v>50</v>
      </c>
      <c r="D118" s="44">
        <f>50</f>
        <v>50</v>
      </c>
      <c r="E118" s="44"/>
      <c r="F118" s="44"/>
      <c r="G118" s="44"/>
      <c r="H118" s="44">
        <f t="shared" si="52"/>
        <v>50</v>
      </c>
      <c r="I118" s="44">
        <f>50</f>
        <v>50</v>
      </c>
      <c r="J118" s="44"/>
      <c r="K118" s="44"/>
      <c r="L118" s="44"/>
      <c r="M118" s="44">
        <f t="shared" si="46"/>
        <v>100</v>
      </c>
      <c r="N118" s="44">
        <f t="shared" si="45"/>
        <v>0</v>
      </c>
      <c r="O118" s="44">
        <f t="shared" si="47"/>
        <v>100</v>
      </c>
      <c r="P118" s="44">
        <f t="shared" si="48"/>
        <v>0</v>
      </c>
      <c r="Q118" s="44" t="str">
        <f t="shared" si="49"/>
        <v>-</v>
      </c>
      <c r="R118" s="44">
        <f t="shared" si="42"/>
        <v>0</v>
      </c>
      <c r="S118" s="44" t="str">
        <f t="shared" si="50"/>
        <v>-</v>
      </c>
      <c r="T118" s="44">
        <f t="shared" si="51"/>
        <v>0</v>
      </c>
    </row>
    <row r="119" spans="1:20" ht="40.5" hidden="1" outlineLevel="3" x14ac:dyDescent="0.25">
      <c r="A119" s="88" t="s">
        <v>540</v>
      </c>
      <c r="B119" s="82" t="s">
        <v>541</v>
      </c>
      <c r="C119" s="44">
        <f t="shared" si="53"/>
        <v>210.8</v>
      </c>
      <c r="D119" s="44">
        <f>210.8</f>
        <v>210.8</v>
      </c>
      <c r="E119" s="44"/>
      <c r="F119" s="44"/>
      <c r="G119" s="44"/>
      <c r="H119" s="44">
        <f t="shared" si="52"/>
        <v>210.8</v>
      </c>
      <c r="I119" s="44">
        <f>210.8</f>
        <v>210.8</v>
      </c>
      <c r="J119" s="44"/>
      <c r="K119" s="44"/>
      <c r="L119" s="44"/>
      <c r="M119" s="44">
        <f t="shared" si="46"/>
        <v>100</v>
      </c>
      <c r="N119" s="44">
        <f t="shared" si="45"/>
        <v>0</v>
      </c>
      <c r="O119" s="44">
        <f t="shared" si="47"/>
        <v>100</v>
      </c>
      <c r="P119" s="44">
        <f t="shared" si="48"/>
        <v>0</v>
      </c>
      <c r="Q119" s="44" t="str">
        <f t="shared" si="49"/>
        <v>-</v>
      </c>
      <c r="R119" s="44">
        <f t="shared" si="42"/>
        <v>0</v>
      </c>
      <c r="S119" s="44" t="str">
        <f t="shared" si="50"/>
        <v>-</v>
      </c>
      <c r="T119" s="44">
        <f t="shared" si="51"/>
        <v>0</v>
      </c>
    </row>
    <row r="120" spans="1:20" ht="27" hidden="1" outlineLevel="3" x14ac:dyDescent="0.25">
      <c r="A120" s="88" t="s">
        <v>542</v>
      </c>
      <c r="B120" s="82" t="s">
        <v>543</v>
      </c>
      <c r="C120" s="44">
        <f>SUM(D120:F120)</f>
        <v>30</v>
      </c>
      <c r="D120" s="44">
        <f>30</f>
        <v>30</v>
      </c>
      <c r="E120" s="44"/>
      <c r="F120" s="44"/>
      <c r="G120" s="44"/>
      <c r="H120" s="44">
        <f>SUM(I120:K120)</f>
        <v>30</v>
      </c>
      <c r="I120" s="44">
        <f>30</f>
        <v>30</v>
      </c>
      <c r="J120" s="44"/>
      <c r="K120" s="44"/>
      <c r="L120" s="44"/>
      <c r="M120" s="44">
        <f>IFERROR(H120/C120*100,"-")</f>
        <v>100</v>
      </c>
      <c r="N120" s="44">
        <f>C120-H120</f>
        <v>0</v>
      </c>
      <c r="O120" s="44">
        <f>IFERROR(I120/D120*100,"-")</f>
        <v>100</v>
      </c>
      <c r="P120" s="44">
        <f>D120-I120</f>
        <v>0</v>
      </c>
      <c r="Q120" s="44" t="str">
        <f>IFERROR(J120/E120*100,"-")</f>
        <v>-</v>
      </c>
      <c r="R120" s="44">
        <f>E120-J120</f>
        <v>0</v>
      </c>
      <c r="S120" s="44" t="str">
        <f>IFERROR(K120/F120*100,"-")</f>
        <v>-</v>
      </c>
      <c r="T120" s="44">
        <f>F120-K120</f>
        <v>0</v>
      </c>
    </row>
    <row r="121" spans="1:20" ht="27" hidden="1" outlineLevel="3" x14ac:dyDescent="0.25">
      <c r="A121" s="88" t="s">
        <v>544</v>
      </c>
      <c r="B121" s="82" t="s">
        <v>545</v>
      </c>
      <c r="C121" s="44">
        <f t="shared" si="53"/>
        <v>100</v>
      </c>
      <c r="D121" s="44">
        <f>100</f>
        <v>100</v>
      </c>
      <c r="E121" s="44"/>
      <c r="F121" s="44"/>
      <c r="G121" s="44"/>
      <c r="H121" s="44">
        <f t="shared" si="52"/>
        <v>100</v>
      </c>
      <c r="I121" s="44">
        <f>100</f>
        <v>100</v>
      </c>
      <c r="J121" s="44"/>
      <c r="K121" s="44"/>
      <c r="L121" s="44"/>
      <c r="M121" s="44">
        <f t="shared" si="46"/>
        <v>100</v>
      </c>
      <c r="N121" s="44">
        <f t="shared" si="45"/>
        <v>0</v>
      </c>
      <c r="O121" s="44">
        <f t="shared" si="47"/>
        <v>100</v>
      </c>
      <c r="P121" s="44">
        <f t="shared" si="48"/>
        <v>0</v>
      </c>
      <c r="Q121" s="44" t="str">
        <f t="shared" si="49"/>
        <v>-</v>
      </c>
      <c r="R121" s="44">
        <f t="shared" si="42"/>
        <v>0</v>
      </c>
      <c r="S121" s="44" t="str">
        <f t="shared" si="50"/>
        <v>-</v>
      </c>
      <c r="T121" s="44">
        <f t="shared" si="51"/>
        <v>0</v>
      </c>
    </row>
    <row r="122" spans="1:20" ht="40.5" hidden="1" outlineLevel="3" x14ac:dyDescent="0.25">
      <c r="A122" s="88" t="s">
        <v>546</v>
      </c>
      <c r="B122" s="82" t="s">
        <v>547</v>
      </c>
      <c r="C122" s="44">
        <f>SUM(D122:F122)</f>
        <v>450</v>
      </c>
      <c r="D122" s="44"/>
      <c r="E122" s="44">
        <f>450</f>
        <v>450</v>
      </c>
      <c r="F122" s="44"/>
      <c r="G122" s="44"/>
      <c r="H122" s="44">
        <f>SUM(I122:K122)</f>
        <v>450</v>
      </c>
      <c r="I122" s="44"/>
      <c r="J122" s="44">
        <f>450</f>
        <v>450</v>
      </c>
      <c r="K122" s="44"/>
      <c r="L122" s="44"/>
      <c r="M122" s="44">
        <f>IFERROR(H122/C122*100,"-")</f>
        <v>100</v>
      </c>
      <c r="N122" s="44">
        <f>C122-H122</f>
        <v>0</v>
      </c>
      <c r="O122" s="44" t="str">
        <f>IFERROR(I122/D122*100,"-")</f>
        <v>-</v>
      </c>
      <c r="P122" s="44">
        <f>D122-I122</f>
        <v>0</v>
      </c>
      <c r="Q122" s="44">
        <f>IFERROR(J122/E122*100,"-")</f>
        <v>100</v>
      </c>
      <c r="R122" s="44">
        <f>E122-J122</f>
        <v>0</v>
      </c>
      <c r="S122" s="44" t="str">
        <f>IFERROR(K122/F122*100,"-")</f>
        <v>-</v>
      </c>
      <c r="T122" s="44">
        <f>F122-K122</f>
        <v>0</v>
      </c>
    </row>
    <row r="123" spans="1:20" ht="27" hidden="1" outlineLevel="3" x14ac:dyDescent="0.25">
      <c r="A123" s="88" t="s">
        <v>548</v>
      </c>
      <c r="B123" s="82" t="s">
        <v>549</v>
      </c>
      <c r="C123" s="44">
        <f>SUM(D123:F123)</f>
        <v>70</v>
      </c>
      <c r="D123" s="44"/>
      <c r="E123" s="44">
        <v>70</v>
      </c>
      <c r="F123" s="44"/>
      <c r="G123" s="44"/>
      <c r="H123" s="44">
        <f>SUM(I123:K123)</f>
        <v>70</v>
      </c>
      <c r="I123" s="44"/>
      <c r="J123" s="44">
        <v>70</v>
      </c>
      <c r="K123" s="44"/>
      <c r="L123" s="44"/>
      <c r="M123" s="44">
        <f>IFERROR(H123/C123*100,"-")</f>
        <v>100</v>
      </c>
      <c r="N123" s="44">
        <f>C123-H123</f>
        <v>0</v>
      </c>
      <c r="O123" s="44" t="str">
        <f>IFERROR(I123/D123*100,"-")</f>
        <v>-</v>
      </c>
      <c r="P123" s="44">
        <f>D123-I123</f>
        <v>0</v>
      </c>
      <c r="Q123" s="44">
        <f>IFERROR(J123/E123*100,"-")</f>
        <v>100</v>
      </c>
      <c r="R123" s="44">
        <f>E123-J123</f>
        <v>0</v>
      </c>
      <c r="S123" s="44" t="str">
        <f>IFERROR(K123/F123*100,"-")</f>
        <v>-</v>
      </c>
      <c r="T123" s="44">
        <f>F123-K123</f>
        <v>0</v>
      </c>
    </row>
    <row r="124" spans="1:20" ht="54" hidden="1" outlineLevel="3" x14ac:dyDescent="0.25">
      <c r="A124" s="88" t="s">
        <v>518</v>
      </c>
      <c r="B124" s="82" t="s">
        <v>550</v>
      </c>
      <c r="C124" s="44">
        <f t="shared" si="53"/>
        <v>150</v>
      </c>
      <c r="D124" s="44">
        <f>150</f>
        <v>150</v>
      </c>
      <c r="E124" s="44">
        <v>0</v>
      </c>
      <c r="F124" s="44">
        <v>0</v>
      </c>
      <c r="G124" s="44">
        <v>0</v>
      </c>
      <c r="H124" s="44">
        <f t="shared" si="52"/>
        <v>150</v>
      </c>
      <c r="I124" s="44">
        <f>150</f>
        <v>150</v>
      </c>
      <c r="J124" s="44">
        <v>0</v>
      </c>
      <c r="K124" s="44">
        <v>0</v>
      </c>
      <c r="L124" s="44">
        <v>0</v>
      </c>
      <c r="M124" s="44">
        <f t="shared" si="46"/>
        <v>100</v>
      </c>
      <c r="N124" s="44">
        <f t="shared" si="45"/>
        <v>0</v>
      </c>
      <c r="O124" s="44">
        <f t="shared" si="47"/>
        <v>100</v>
      </c>
      <c r="P124" s="44">
        <f t="shared" si="48"/>
        <v>0</v>
      </c>
      <c r="Q124" s="44" t="str">
        <f t="shared" si="49"/>
        <v>-</v>
      </c>
      <c r="R124" s="44">
        <f t="shared" si="42"/>
        <v>0</v>
      </c>
      <c r="S124" s="44" t="str">
        <f t="shared" si="50"/>
        <v>-</v>
      </c>
      <c r="T124" s="44">
        <f t="shared" si="51"/>
        <v>0</v>
      </c>
    </row>
    <row r="125" spans="1:20" hidden="1" outlineLevel="3" x14ac:dyDescent="0.25">
      <c r="A125" s="88" t="s">
        <v>427</v>
      </c>
      <c r="B125" s="55" t="s">
        <v>313</v>
      </c>
      <c r="C125" s="44">
        <f t="shared" si="53"/>
        <v>100</v>
      </c>
      <c r="D125" s="44">
        <f>100</f>
        <v>100</v>
      </c>
      <c r="E125" s="44"/>
      <c r="F125" s="44"/>
      <c r="G125" s="44"/>
      <c r="H125" s="44">
        <f t="shared" si="52"/>
        <v>100</v>
      </c>
      <c r="I125" s="44">
        <f>100</f>
        <v>100</v>
      </c>
      <c r="J125" s="44"/>
      <c r="K125" s="44"/>
      <c r="L125" s="44"/>
      <c r="M125" s="44">
        <f t="shared" si="46"/>
        <v>100</v>
      </c>
      <c r="N125" s="44">
        <f t="shared" si="45"/>
        <v>0</v>
      </c>
      <c r="O125" s="44">
        <f t="shared" si="47"/>
        <v>100</v>
      </c>
      <c r="P125" s="44">
        <f t="shared" si="48"/>
        <v>0</v>
      </c>
      <c r="Q125" s="44" t="str">
        <f t="shared" si="49"/>
        <v>-</v>
      </c>
      <c r="R125" s="44">
        <f t="shared" si="42"/>
        <v>0</v>
      </c>
      <c r="S125" s="44" t="str">
        <f t="shared" si="50"/>
        <v>-</v>
      </c>
      <c r="T125" s="44">
        <f t="shared" si="51"/>
        <v>0</v>
      </c>
    </row>
    <row r="126" spans="1:20" s="22" customFormat="1" ht="54" hidden="1" outlineLevel="1" x14ac:dyDescent="0.2">
      <c r="A126" s="85"/>
      <c r="B126" s="58" t="s">
        <v>321</v>
      </c>
      <c r="C126" s="59">
        <f t="shared" si="53"/>
        <v>21839.5</v>
      </c>
      <c r="D126" s="59">
        <f>SUM(D127:D127)</f>
        <v>21233.8</v>
      </c>
      <c r="E126" s="59">
        <f>SUM(E127:E127)</f>
        <v>605.70000000000005</v>
      </c>
      <c r="F126" s="59">
        <f>SUM(F127:F127)</f>
        <v>0</v>
      </c>
      <c r="G126" s="59">
        <f>SUM(G127:G127)</f>
        <v>7891</v>
      </c>
      <c r="H126" s="59">
        <f t="shared" si="52"/>
        <v>21839.5</v>
      </c>
      <c r="I126" s="59">
        <f>SUM(I127:I127)</f>
        <v>21233.8</v>
      </c>
      <c r="J126" s="59">
        <f>SUM(J127:J127)</f>
        <v>605.70000000000005</v>
      </c>
      <c r="K126" s="59">
        <f>SUM(K127:K127)</f>
        <v>0</v>
      </c>
      <c r="L126" s="59">
        <f>SUM(L127:L127)</f>
        <v>7891</v>
      </c>
      <c r="M126" s="59">
        <f t="shared" si="46"/>
        <v>100</v>
      </c>
      <c r="N126" s="59">
        <f t="shared" si="45"/>
        <v>0</v>
      </c>
      <c r="O126" s="59">
        <f t="shared" si="47"/>
        <v>100</v>
      </c>
      <c r="P126" s="59">
        <f t="shared" si="48"/>
        <v>0</v>
      </c>
      <c r="Q126" s="59">
        <f t="shared" si="49"/>
        <v>100</v>
      </c>
      <c r="R126" s="59">
        <f t="shared" si="42"/>
        <v>0</v>
      </c>
      <c r="S126" s="59" t="str">
        <f t="shared" si="50"/>
        <v>-</v>
      </c>
      <c r="T126" s="59">
        <f t="shared" si="51"/>
        <v>0</v>
      </c>
    </row>
    <row r="127" spans="1:20" ht="27" hidden="1" outlineLevel="2" x14ac:dyDescent="0.25">
      <c r="A127" s="49"/>
      <c r="B127" s="46" t="s">
        <v>551</v>
      </c>
      <c r="C127" s="44">
        <f t="shared" si="53"/>
        <v>21839.5</v>
      </c>
      <c r="D127" s="44">
        <f>21233.79308</f>
        <v>21233.8</v>
      </c>
      <c r="E127" s="44">
        <f>605.699</f>
        <v>605.70000000000005</v>
      </c>
      <c r="F127" s="44">
        <v>0</v>
      </c>
      <c r="G127" s="44">
        <f>7891</f>
        <v>7891</v>
      </c>
      <c r="H127" s="44">
        <f t="shared" si="52"/>
        <v>21839.5</v>
      </c>
      <c r="I127" s="44">
        <f>21233.79308</f>
        <v>21233.8</v>
      </c>
      <c r="J127" s="44">
        <f>605.699</f>
        <v>605.70000000000005</v>
      </c>
      <c r="K127" s="44">
        <v>0</v>
      </c>
      <c r="L127" s="44">
        <v>7891</v>
      </c>
      <c r="M127" s="44">
        <f t="shared" si="46"/>
        <v>100</v>
      </c>
      <c r="N127" s="44">
        <f t="shared" si="45"/>
        <v>0</v>
      </c>
      <c r="O127" s="44">
        <f t="shared" si="47"/>
        <v>100</v>
      </c>
      <c r="P127" s="44">
        <f t="shared" si="48"/>
        <v>0</v>
      </c>
      <c r="Q127" s="44">
        <f t="shared" si="49"/>
        <v>100</v>
      </c>
      <c r="R127" s="44">
        <f t="shared" si="42"/>
        <v>0</v>
      </c>
      <c r="S127" s="44" t="str">
        <f t="shared" si="50"/>
        <v>-</v>
      </c>
      <c r="T127" s="44">
        <f t="shared" si="51"/>
        <v>0</v>
      </c>
    </row>
    <row r="128" spans="1:20" s="22" customFormat="1" ht="27" hidden="1" outlineLevel="1" x14ac:dyDescent="0.25">
      <c r="A128" s="6"/>
      <c r="B128" s="58" t="s">
        <v>322</v>
      </c>
      <c r="C128" s="59">
        <f t="shared" si="53"/>
        <v>69575</v>
      </c>
      <c r="D128" s="59">
        <f>D129</f>
        <v>58445.3</v>
      </c>
      <c r="E128" s="59">
        <f>E129</f>
        <v>11129.7</v>
      </c>
      <c r="F128" s="59">
        <f>F129</f>
        <v>0</v>
      </c>
      <c r="G128" s="59">
        <f>G130</f>
        <v>0</v>
      </c>
      <c r="H128" s="59">
        <f t="shared" si="52"/>
        <v>69183.399999999994</v>
      </c>
      <c r="I128" s="59">
        <f>I129</f>
        <v>58053.7</v>
      </c>
      <c r="J128" s="59">
        <f>J129</f>
        <v>11129.7</v>
      </c>
      <c r="K128" s="59">
        <f>K129</f>
        <v>0</v>
      </c>
      <c r="L128" s="59">
        <f>L130</f>
        <v>0</v>
      </c>
      <c r="M128" s="59">
        <f t="shared" si="46"/>
        <v>99.4</v>
      </c>
      <c r="N128" s="59">
        <f t="shared" si="45"/>
        <v>391.6</v>
      </c>
      <c r="O128" s="59">
        <f t="shared" si="47"/>
        <v>99.3</v>
      </c>
      <c r="P128" s="59">
        <f t="shared" si="48"/>
        <v>391.6</v>
      </c>
      <c r="Q128" s="59">
        <f t="shared" si="49"/>
        <v>100</v>
      </c>
      <c r="R128" s="59">
        <f t="shared" si="42"/>
        <v>0</v>
      </c>
      <c r="S128" s="59" t="str">
        <f t="shared" si="50"/>
        <v>-</v>
      </c>
      <c r="T128" s="59">
        <f t="shared" si="51"/>
        <v>0</v>
      </c>
    </row>
    <row r="129" spans="1:36" ht="27" hidden="1" customHeight="1" outlineLevel="2" x14ac:dyDescent="0.25">
      <c r="A129" s="60"/>
      <c r="B129" s="46" t="s">
        <v>552</v>
      </c>
      <c r="C129" s="44">
        <f t="shared" si="53"/>
        <v>69575</v>
      </c>
      <c r="D129" s="44">
        <f>D130+D131</f>
        <v>58445.3</v>
      </c>
      <c r="E129" s="44">
        <f>E130+E131</f>
        <v>11129.7</v>
      </c>
      <c r="F129" s="44">
        <f>F130+F131</f>
        <v>0</v>
      </c>
      <c r="G129" s="44">
        <f>G130+G131</f>
        <v>0</v>
      </c>
      <c r="H129" s="44">
        <f t="shared" si="52"/>
        <v>69183.399999999994</v>
      </c>
      <c r="I129" s="44">
        <f>I130+I131</f>
        <v>58053.7</v>
      </c>
      <c r="J129" s="44">
        <f>J130+J131</f>
        <v>11129.7</v>
      </c>
      <c r="K129" s="44">
        <f>K130+K131</f>
        <v>0</v>
      </c>
      <c r="L129" s="44">
        <v>0</v>
      </c>
      <c r="M129" s="44">
        <f t="shared" si="46"/>
        <v>99.4</v>
      </c>
      <c r="N129" s="44">
        <f t="shared" si="45"/>
        <v>391.6</v>
      </c>
      <c r="O129" s="44">
        <f t="shared" si="47"/>
        <v>99.3</v>
      </c>
      <c r="P129" s="44">
        <f t="shared" si="48"/>
        <v>391.6</v>
      </c>
      <c r="Q129" s="44">
        <f t="shared" si="49"/>
        <v>100</v>
      </c>
      <c r="R129" s="44">
        <f t="shared" si="42"/>
        <v>0</v>
      </c>
      <c r="S129" s="44" t="str">
        <f t="shared" si="50"/>
        <v>-</v>
      </c>
      <c r="T129" s="44">
        <f t="shared" si="51"/>
        <v>0</v>
      </c>
    </row>
    <row r="130" spans="1:36" ht="13.5" hidden="1" customHeight="1" outlineLevel="3" x14ac:dyDescent="0.25">
      <c r="A130" s="60"/>
      <c r="B130" s="55" t="s">
        <v>323</v>
      </c>
      <c r="C130" s="44">
        <f t="shared" si="53"/>
        <v>11919</v>
      </c>
      <c r="D130" s="44">
        <f>11918.96374</f>
        <v>11919</v>
      </c>
      <c r="E130" s="44"/>
      <c r="F130" s="44">
        <v>0</v>
      </c>
      <c r="G130" s="44">
        <v>0</v>
      </c>
      <c r="H130" s="44">
        <f t="shared" si="52"/>
        <v>11534.6</v>
      </c>
      <c r="I130" s="44">
        <f>11534.64308</f>
        <v>11534.6</v>
      </c>
      <c r="J130" s="44"/>
      <c r="K130" s="44">
        <v>0</v>
      </c>
      <c r="L130" s="44">
        <v>0</v>
      </c>
      <c r="M130" s="44">
        <f t="shared" si="46"/>
        <v>96.8</v>
      </c>
      <c r="N130" s="44">
        <f t="shared" si="45"/>
        <v>384.4</v>
      </c>
      <c r="O130" s="44">
        <f t="shared" si="47"/>
        <v>96.8</v>
      </c>
      <c r="P130" s="44">
        <f t="shared" si="48"/>
        <v>384.4</v>
      </c>
      <c r="Q130" s="44" t="str">
        <f t="shared" si="49"/>
        <v>-</v>
      </c>
      <c r="R130" s="44">
        <f t="shared" si="42"/>
        <v>0</v>
      </c>
      <c r="S130" s="44" t="str">
        <f t="shared" si="50"/>
        <v>-</v>
      </c>
      <c r="T130" s="44">
        <f t="shared" si="51"/>
        <v>0</v>
      </c>
    </row>
    <row r="131" spans="1:36" ht="27" hidden="1" outlineLevel="3" x14ac:dyDescent="0.25">
      <c r="A131" s="60"/>
      <c r="B131" s="55" t="s">
        <v>324</v>
      </c>
      <c r="C131" s="44">
        <f t="shared" si="53"/>
        <v>57656</v>
      </c>
      <c r="D131" s="44">
        <f>46526.33894</f>
        <v>46526.3</v>
      </c>
      <c r="E131" s="44">
        <f>11129.72968</f>
        <v>11129.7</v>
      </c>
      <c r="F131" s="44">
        <v>0</v>
      </c>
      <c r="G131" s="44"/>
      <c r="H131" s="44">
        <f t="shared" si="52"/>
        <v>57648.800000000003</v>
      </c>
      <c r="I131" s="44">
        <f>46519.0704</f>
        <v>46519.1</v>
      </c>
      <c r="J131" s="44">
        <f>11129.72968</f>
        <v>11129.7</v>
      </c>
      <c r="K131" s="44">
        <v>0</v>
      </c>
      <c r="L131" s="44"/>
      <c r="M131" s="44">
        <f t="shared" si="46"/>
        <v>100</v>
      </c>
      <c r="N131" s="44">
        <f t="shared" si="45"/>
        <v>7.2</v>
      </c>
      <c r="O131" s="44">
        <f t="shared" si="47"/>
        <v>100</v>
      </c>
      <c r="P131" s="44">
        <f t="shared" si="48"/>
        <v>7.2</v>
      </c>
      <c r="Q131" s="44">
        <f t="shared" si="49"/>
        <v>100</v>
      </c>
      <c r="R131" s="44">
        <f t="shared" si="42"/>
        <v>0</v>
      </c>
      <c r="S131" s="44" t="str">
        <f t="shared" si="50"/>
        <v>-</v>
      </c>
      <c r="T131" s="44">
        <f t="shared" si="51"/>
        <v>0</v>
      </c>
    </row>
    <row r="132" spans="1:36" s="22" customFormat="1" ht="27" hidden="1" outlineLevel="1" x14ac:dyDescent="0.25">
      <c r="A132" s="6"/>
      <c r="B132" s="58" t="s">
        <v>325</v>
      </c>
      <c r="C132" s="59">
        <f t="shared" si="53"/>
        <v>5478.3</v>
      </c>
      <c r="D132" s="59">
        <f>D133+D134</f>
        <v>5478.3</v>
      </c>
      <c r="E132" s="59">
        <f>E133+E134</f>
        <v>0</v>
      </c>
      <c r="F132" s="59">
        <f>F133+F134</f>
        <v>0</v>
      </c>
      <c r="G132" s="59">
        <f>SUM(G133:G133)</f>
        <v>0</v>
      </c>
      <c r="H132" s="59">
        <f t="shared" si="52"/>
        <v>5478.3</v>
      </c>
      <c r="I132" s="59">
        <f>I133+I134</f>
        <v>5478.3</v>
      </c>
      <c r="J132" s="59">
        <f>J133+J134</f>
        <v>0</v>
      </c>
      <c r="K132" s="59">
        <f>K133+K134</f>
        <v>0</v>
      </c>
      <c r="L132" s="59">
        <f>SUM(L133:L133)</f>
        <v>0</v>
      </c>
      <c r="M132" s="59">
        <f t="shared" si="46"/>
        <v>100</v>
      </c>
      <c r="N132" s="59">
        <f t="shared" si="45"/>
        <v>0</v>
      </c>
      <c r="O132" s="59">
        <f t="shared" si="47"/>
        <v>100</v>
      </c>
      <c r="P132" s="59">
        <f t="shared" si="48"/>
        <v>0</v>
      </c>
      <c r="Q132" s="59" t="str">
        <f t="shared" si="49"/>
        <v>-</v>
      </c>
      <c r="R132" s="59">
        <f t="shared" si="42"/>
        <v>0</v>
      </c>
      <c r="S132" s="59" t="str">
        <f t="shared" si="50"/>
        <v>-</v>
      </c>
      <c r="T132" s="59">
        <f t="shared" si="51"/>
        <v>0</v>
      </c>
    </row>
    <row r="133" spans="1:36" ht="27" hidden="1" customHeight="1" outlineLevel="2" x14ac:dyDescent="0.25">
      <c r="A133" s="49"/>
      <c r="B133" s="46" t="s">
        <v>553</v>
      </c>
      <c r="C133" s="44">
        <f t="shared" si="53"/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f t="shared" si="52"/>
        <v>0</v>
      </c>
      <c r="I133" s="44">
        <v>0</v>
      </c>
      <c r="J133" s="44">
        <v>0</v>
      </c>
      <c r="K133" s="44">
        <v>0</v>
      </c>
      <c r="L133" s="44">
        <v>0</v>
      </c>
      <c r="M133" s="59" t="str">
        <f t="shared" si="46"/>
        <v>-</v>
      </c>
      <c r="N133" s="59">
        <f t="shared" si="45"/>
        <v>0</v>
      </c>
      <c r="O133" s="59" t="str">
        <f t="shared" si="47"/>
        <v>-</v>
      </c>
      <c r="P133" s="59">
        <f t="shared" si="48"/>
        <v>0</v>
      </c>
      <c r="Q133" s="59" t="str">
        <f t="shared" si="49"/>
        <v>-</v>
      </c>
      <c r="R133" s="59">
        <f t="shared" si="42"/>
        <v>0</v>
      </c>
      <c r="S133" s="59" t="str">
        <f t="shared" si="50"/>
        <v>-</v>
      </c>
      <c r="T133" s="59">
        <f t="shared" si="51"/>
        <v>0</v>
      </c>
    </row>
    <row r="134" spans="1:36" ht="27" hidden="1" customHeight="1" outlineLevel="2" x14ac:dyDescent="0.25">
      <c r="A134" s="49"/>
      <c r="B134" s="46" t="s">
        <v>554</v>
      </c>
      <c r="C134" s="44">
        <f t="shared" si="53"/>
        <v>5478.3</v>
      </c>
      <c r="D134" s="44">
        <f>5478.266</f>
        <v>5478.3</v>
      </c>
      <c r="E134" s="44">
        <v>0</v>
      </c>
      <c r="F134" s="44">
        <v>0</v>
      </c>
      <c r="G134" s="44"/>
      <c r="H134" s="44">
        <f t="shared" si="52"/>
        <v>5478.3</v>
      </c>
      <c r="I134" s="44">
        <f>5478.266</f>
        <v>5478.3</v>
      </c>
      <c r="J134" s="44">
        <v>0</v>
      </c>
      <c r="K134" s="44">
        <v>0</v>
      </c>
      <c r="L134" s="44"/>
      <c r="M134" s="59">
        <f t="shared" si="46"/>
        <v>100</v>
      </c>
      <c r="N134" s="59">
        <f t="shared" si="45"/>
        <v>0</v>
      </c>
      <c r="O134" s="59">
        <f t="shared" si="47"/>
        <v>100</v>
      </c>
      <c r="P134" s="59">
        <f t="shared" si="48"/>
        <v>0</v>
      </c>
      <c r="Q134" s="59" t="str">
        <f t="shared" si="49"/>
        <v>-</v>
      </c>
      <c r="R134" s="59">
        <f t="shared" si="42"/>
        <v>0</v>
      </c>
      <c r="S134" s="59" t="str">
        <f t="shared" si="50"/>
        <v>-</v>
      </c>
      <c r="T134" s="59">
        <f t="shared" si="51"/>
        <v>0</v>
      </c>
    </row>
    <row r="135" spans="1:36" ht="54" hidden="1" outlineLevel="1" x14ac:dyDescent="0.25">
      <c r="A135" s="49"/>
      <c r="B135" s="86" t="s">
        <v>326</v>
      </c>
      <c r="C135" s="59">
        <f t="shared" si="53"/>
        <v>197.1</v>
      </c>
      <c r="D135" s="59">
        <f>D136</f>
        <v>197.1</v>
      </c>
      <c r="E135" s="59">
        <f>E136</f>
        <v>0</v>
      </c>
      <c r="F135" s="59">
        <f>F136</f>
        <v>0</v>
      </c>
      <c r="G135" s="59">
        <f>G136</f>
        <v>0</v>
      </c>
      <c r="H135" s="54">
        <f t="shared" si="52"/>
        <v>197.1</v>
      </c>
      <c r="I135" s="54">
        <f>I136</f>
        <v>197.1</v>
      </c>
      <c r="J135" s="54">
        <f>J136</f>
        <v>0</v>
      </c>
      <c r="K135" s="54">
        <f>K136</f>
        <v>0</v>
      </c>
      <c r="L135" s="71">
        <f>L136</f>
        <v>0</v>
      </c>
      <c r="M135" s="59">
        <f t="shared" si="46"/>
        <v>100</v>
      </c>
      <c r="N135" s="59">
        <f t="shared" si="45"/>
        <v>0</v>
      </c>
      <c r="O135" s="59">
        <f t="shared" si="47"/>
        <v>100</v>
      </c>
      <c r="P135" s="59">
        <f t="shared" si="48"/>
        <v>0</v>
      </c>
      <c r="Q135" s="59" t="str">
        <f t="shared" si="49"/>
        <v>-</v>
      </c>
      <c r="R135" s="59">
        <f t="shared" si="42"/>
        <v>0</v>
      </c>
      <c r="S135" s="59" t="str">
        <f t="shared" si="50"/>
        <v>-</v>
      </c>
      <c r="T135" s="59">
        <f t="shared" si="51"/>
        <v>0</v>
      </c>
    </row>
    <row r="136" spans="1:36" ht="27" hidden="1" outlineLevel="2" x14ac:dyDescent="0.25">
      <c r="A136" s="49"/>
      <c r="B136" s="46" t="s">
        <v>555</v>
      </c>
      <c r="C136" s="44">
        <f t="shared" si="53"/>
        <v>197.1</v>
      </c>
      <c r="D136" s="44">
        <f>197.06</f>
        <v>197.1</v>
      </c>
      <c r="E136" s="44">
        <v>0</v>
      </c>
      <c r="F136" s="44">
        <v>0</v>
      </c>
      <c r="G136" s="44">
        <v>0</v>
      </c>
      <c r="H136" s="44">
        <f t="shared" si="52"/>
        <v>197.1</v>
      </c>
      <c r="I136" s="44">
        <f>197.06</f>
        <v>197.1</v>
      </c>
      <c r="J136" s="44">
        <v>0</v>
      </c>
      <c r="K136" s="44">
        <v>0</v>
      </c>
      <c r="L136" s="44">
        <v>0</v>
      </c>
      <c r="M136" s="44">
        <f t="shared" si="46"/>
        <v>100</v>
      </c>
      <c r="N136" s="44">
        <f t="shared" si="45"/>
        <v>0</v>
      </c>
      <c r="O136" s="44">
        <f t="shared" si="47"/>
        <v>100</v>
      </c>
      <c r="P136" s="44">
        <f t="shared" si="48"/>
        <v>0</v>
      </c>
      <c r="Q136" s="44" t="str">
        <f t="shared" si="49"/>
        <v>-</v>
      </c>
      <c r="R136" s="44">
        <f t="shared" si="42"/>
        <v>0</v>
      </c>
      <c r="S136" s="44" t="str">
        <f t="shared" si="50"/>
        <v>-</v>
      </c>
      <c r="T136" s="44">
        <f t="shared" si="51"/>
        <v>0</v>
      </c>
    </row>
    <row r="137" spans="1:36" s="23" customFormat="1" ht="40.5" collapsed="1" x14ac:dyDescent="0.25">
      <c r="A137" s="48">
        <v>6</v>
      </c>
      <c r="B137" s="41" t="s">
        <v>31</v>
      </c>
      <c r="C137" s="42">
        <f t="shared" si="53"/>
        <v>173263.1</v>
      </c>
      <c r="D137" s="42">
        <f>D138+D146+D151+D163</f>
        <v>153767.1</v>
      </c>
      <c r="E137" s="42">
        <f>E138+E146+E151+E163</f>
        <v>19496</v>
      </c>
      <c r="F137" s="42">
        <f>F138+F146+F151+F163</f>
        <v>0</v>
      </c>
      <c r="G137" s="42">
        <f>G138+G146+G151+G163</f>
        <v>34635.9</v>
      </c>
      <c r="H137" s="42">
        <f t="shared" si="52"/>
        <v>171553.5</v>
      </c>
      <c r="I137" s="42">
        <f>I138+I146+I151+I163</f>
        <v>153767.1</v>
      </c>
      <c r="J137" s="42">
        <f>J138+J146+J151+J163</f>
        <v>17786.400000000001</v>
      </c>
      <c r="K137" s="42">
        <f>K138+K146+K151+K163</f>
        <v>0</v>
      </c>
      <c r="L137" s="42">
        <f>L138+L146+L151+L163</f>
        <v>34635.9</v>
      </c>
      <c r="M137" s="42">
        <f t="shared" si="46"/>
        <v>99</v>
      </c>
      <c r="N137" s="42">
        <f t="shared" si="45"/>
        <v>1709.6</v>
      </c>
      <c r="O137" s="42">
        <f t="shared" si="47"/>
        <v>100</v>
      </c>
      <c r="P137" s="42">
        <f t="shared" si="48"/>
        <v>0</v>
      </c>
      <c r="Q137" s="42">
        <f t="shared" si="49"/>
        <v>91.2</v>
      </c>
      <c r="R137" s="42">
        <f t="shared" si="42"/>
        <v>1709.6</v>
      </c>
      <c r="S137" s="42" t="str">
        <f t="shared" si="50"/>
        <v>-</v>
      </c>
      <c r="T137" s="42">
        <f t="shared" si="51"/>
        <v>0</v>
      </c>
    </row>
    <row r="138" spans="1:36" ht="27" hidden="1" outlineLevel="1" x14ac:dyDescent="0.25">
      <c r="A138" s="6"/>
      <c r="B138" s="58" t="s">
        <v>21</v>
      </c>
      <c r="C138" s="59">
        <f t="shared" si="53"/>
        <v>92159.8</v>
      </c>
      <c r="D138" s="105">
        <f>D139+D142+D143</f>
        <v>84685.8</v>
      </c>
      <c r="E138" s="105">
        <f>E139+E142+E143</f>
        <v>7474</v>
      </c>
      <c r="F138" s="105">
        <f>F139+F142</f>
        <v>0</v>
      </c>
      <c r="G138" s="59">
        <f>G139+G142+G143</f>
        <v>8451.7000000000007</v>
      </c>
      <c r="H138" s="59">
        <f t="shared" si="52"/>
        <v>92159.8</v>
      </c>
      <c r="I138" s="59">
        <f>I139+I142+I143</f>
        <v>84685.8</v>
      </c>
      <c r="J138" s="59">
        <f>J139+J142+J143</f>
        <v>7474</v>
      </c>
      <c r="K138" s="59">
        <f>K139+K142+K143</f>
        <v>0</v>
      </c>
      <c r="L138" s="59">
        <f>L139+L142+L143</f>
        <v>8451.7000000000007</v>
      </c>
      <c r="M138" s="54">
        <f t="shared" si="46"/>
        <v>100</v>
      </c>
      <c r="N138" s="54">
        <f t="shared" si="45"/>
        <v>0</v>
      </c>
      <c r="O138" s="54">
        <f t="shared" si="47"/>
        <v>100</v>
      </c>
      <c r="P138" s="54">
        <f t="shared" si="48"/>
        <v>0</v>
      </c>
      <c r="Q138" s="54">
        <f t="shared" si="49"/>
        <v>100</v>
      </c>
      <c r="R138" s="54">
        <f t="shared" si="42"/>
        <v>0</v>
      </c>
      <c r="S138" s="54" t="str">
        <f t="shared" si="50"/>
        <v>-</v>
      </c>
      <c r="T138" s="54">
        <f t="shared" si="51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</row>
    <row r="139" spans="1:36" ht="54" hidden="1" outlineLevel="2" x14ac:dyDescent="0.25">
      <c r="A139" s="70" t="s">
        <v>77</v>
      </c>
      <c r="B139" s="46" t="s">
        <v>556</v>
      </c>
      <c r="C139" s="44">
        <f t="shared" si="53"/>
        <v>75931.5</v>
      </c>
      <c r="D139" s="44">
        <f>SUM(D140:D141)</f>
        <v>70043.3</v>
      </c>
      <c r="E139" s="44">
        <f>SUM(E140:E141)</f>
        <v>5888.2</v>
      </c>
      <c r="F139" s="44">
        <f>SUM(F140:F141)</f>
        <v>0</v>
      </c>
      <c r="G139" s="44">
        <f>SUM(G140:G141)</f>
        <v>8451.7000000000007</v>
      </c>
      <c r="H139" s="44">
        <f t="shared" si="52"/>
        <v>75931.5</v>
      </c>
      <c r="I139" s="44">
        <f>SUM(I140:I141)</f>
        <v>70043.3</v>
      </c>
      <c r="J139" s="44">
        <f>SUM(J140:J141)</f>
        <v>5888.2</v>
      </c>
      <c r="K139" s="44">
        <f>SUM(K140:K141)</f>
        <v>0</v>
      </c>
      <c r="L139" s="44">
        <f>SUM(L140:L141)</f>
        <v>8451.7000000000007</v>
      </c>
      <c r="M139" s="71">
        <f t="shared" si="46"/>
        <v>100</v>
      </c>
      <c r="N139" s="71">
        <f t="shared" si="45"/>
        <v>0</v>
      </c>
      <c r="O139" s="71">
        <f t="shared" si="47"/>
        <v>100</v>
      </c>
      <c r="P139" s="71">
        <f t="shared" si="48"/>
        <v>0</v>
      </c>
      <c r="Q139" s="71">
        <f t="shared" si="49"/>
        <v>100</v>
      </c>
      <c r="R139" s="71">
        <f t="shared" si="42"/>
        <v>0</v>
      </c>
      <c r="S139" s="71" t="str">
        <f t="shared" si="50"/>
        <v>-</v>
      </c>
      <c r="T139" s="71">
        <f t="shared" si="51"/>
        <v>0</v>
      </c>
    </row>
    <row r="140" spans="1:36" ht="81" hidden="1" customHeight="1" outlineLevel="3" x14ac:dyDescent="0.25">
      <c r="A140" s="70" t="s">
        <v>414</v>
      </c>
      <c r="B140" s="82" t="s">
        <v>455</v>
      </c>
      <c r="C140" s="44">
        <f t="shared" si="53"/>
        <v>70836.800000000003</v>
      </c>
      <c r="D140" s="44">
        <f>64948.6</f>
        <v>64948.6</v>
      </c>
      <c r="E140" s="44">
        <f>5888.2</f>
        <v>5888.2</v>
      </c>
      <c r="F140" s="44">
        <v>0</v>
      </c>
      <c r="G140" s="44">
        <f>8451.7</f>
        <v>8451.7000000000007</v>
      </c>
      <c r="H140" s="44">
        <f t="shared" si="52"/>
        <v>70836.800000000003</v>
      </c>
      <c r="I140" s="44">
        <f>64948.59161</f>
        <v>64948.6</v>
      </c>
      <c r="J140" s="44">
        <f>5888.2</f>
        <v>5888.2</v>
      </c>
      <c r="K140" s="44">
        <v>0</v>
      </c>
      <c r="L140" s="44">
        <f>8451.7</f>
        <v>8451.7000000000007</v>
      </c>
      <c r="M140" s="71">
        <f t="shared" si="46"/>
        <v>100</v>
      </c>
      <c r="N140" s="71">
        <f t="shared" si="45"/>
        <v>0</v>
      </c>
      <c r="O140" s="71">
        <f t="shared" si="47"/>
        <v>100</v>
      </c>
      <c r="P140" s="71">
        <f t="shared" si="48"/>
        <v>0</v>
      </c>
      <c r="Q140" s="71">
        <f t="shared" si="49"/>
        <v>100</v>
      </c>
      <c r="R140" s="71">
        <f t="shared" si="42"/>
        <v>0</v>
      </c>
      <c r="S140" s="71" t="str">
        <f t="shared" si="50"/>
        <v>-</v>
      </c>
      <c r="T140" s="71">
        <f t="shared" si="51"/>
        <v>0</v>
      </c>
    </row>
    <row r="141" spans="1:36" ht="27" hidden="1" outlineLevel="3" x14ac:dyDescent="0.25">
      <c r="A141" s="70" t="s">
        <v>415</v>
      </c>
      <c r="B141" s="82" t="s">
        <v>22</v>
      </c>
      <c r="C141" s="44">
        <f t="shared" si="53"/>
        <v>5094.7</v>
      </c>
      <c r="D141" s="44">
        <f>5094.7</f>
        <v>5094.7</v>
      </c>
      <c r="E141" s="44">
        <v>0</v>
      </c>
      <c r="F141" s="44">
        <v>0</v>
      </c>
      <c r="G141" s="44"/>
      <c r="H141" s="44">
        <f t="shared" si="52"/>
        <v>5094.7</v>
      </c>
      <c r="I141" s="44">
        <f>5094.7</f>
        <v>5094.7</v>
      </c>
      <c r="J141" s="44">
        <v>0</v>
      </c>
      <c r="K141" s="44">
        <v>0</v>
      </c>
      <c r="L141" s="44"/>
      <c r="M141" s="71">
        <f t="shared" si="46"/>
        <v>100</v>
      </c>
      <c r="N141" s="71">
        <f t="shared" si="45"/>
        <v>0</v>
      </c>
      <c r="O141" s="71">
        <f t="shared" si="47"/>
        <v>100</v>
      </c>
      <c r="P141" s="71">
        <f t="shared" si="48"/>
        <v>0</v>
      </c>
      <c r="Q141" s="71" t="str">
        <f t="shared" si="49"/>
        <v>-</v>
      </c>
      <c r="R141" s="71">
        <f t="shared" si="42"/>
        <v>0</v>
      </c>
      <c r="S141" s="71" t="str">
        <f t="shared" si="50"/>
        <v>-</v>
      </c>
      <c r="T141" s="71">
        <f t="shared" si="51"/>
        <v>0</v>
      </c>
    </row>
    <row r="142" spans="1:36" ht="27" hidden="1" outlineLevel="2" x14ac:dyDescent="0.25">
      <c r="A142" s="70" t="s">
        <v>78</v>
      </c>
      <c r="B142" s="46" t="s">
        <v>557</v>
      </c>
      <c r="C142" s="44">
        <f t="shared" si="53"/>
        <v>15970.4</v>
      </c>
      <c r="D142" s="44">
        <v>14629.6</v>
      </c>
      <c r="E142" s="44">
        <f>1340.81202</f>
        <v>1340.8</v>
      </c>
      <c r="F142" s="44">
        <v>0</v>
      </c>
      <c r="G142" s="44">
        <v>0</v>
      </c>
      <c r="H142" s="44">
        <f t="shared" si="52"/>
        <v>15970.4</v>
      </c>
      <c r="I142" s="44">
        <v>14629.6</v>
      </c>
      <c r="J142" s="44">
        <f>1340.81202</f>
        <v>1340.8</v>
      </c>
      <c r="K142" s="44">
        <v>0</v>
      </c>
      <c r="L142" s="44">
        <v>0</v>
      </c>
      <c r="M142" s="71">
        <f t="shared" si="46"/>
        <v>100</v>
      </c>
      <c r="N142" s="71">
        <f t="shared" si="45"/>
        <v>0</v>
      </c>
      <c r="O142" s="71">
        <f t="shared" si="47"/>
        <v>100</v>
      </c>
      <c r="P142" s="71">
        <f t="shared" si="48"/>
        <v>0</v>
      </c>
      <c r="Q142" s="71">
        <f t="shared" si="49"/>
        <v>100</v>
      </c>
      <c r="R142" s="71">
        <f t="shared" si="42"/>
        <v>0</v>
      </c>
      <c r="S142" s="71" t="str">
        <f t="shared" si="50"/>
        <v>-</v>
      </c>
      <c r="T142" s="71">
        <f t="shared" si="51"/>
        <v>0</v>
      </c>
    </row>
    <row r="143" spans="1:36" ht="40.5" hidden="1" outlineLevel="2" x14ac:dyDescent="0.25">
      <c r="A143" s="70" t="s">
        <v>79</v>
      </c>
      <c r="B143" s="46" t="s">
        <v>558</v>
      </c>
      <c r="C143" s="44">
        <f t="shared" si="53"/>
        <v>257.89999999999998</v>
      </c>
      <c r="D143" s="44">
        <f>D144+D145</f>
        <v>12.9</v>
      </c>
      <c r="E143" s="44">
        <f>E144+E145</f>
        <v>245</v>
      </c>
      <c r="F143" s="44">
        <f>F144+F145</f>
        <v>0</v>
      </c>
      <c r="G143" s="44">
        <f>G144+G145</f>
        <v>0</v>
      </c>
      <c r="H143" s="44">
        <f t="shared" si="52"/>
        <v>257.89999999999998</v>
      </c>
      <c r="I143" s="44">
        <f>I144+I145</f>
        <v>12.9</v>
      </c>
      <c r="J143" s="44">
        <f>J144+J145</f>
        <v>245</v>
      </c>
      <c r="K143" s="44">
        <f>K144+K145</f>
        <v>0</v>
      </c>
      <c r="L143" s="44">
        <f>L144+L145</f>
        <v>0</v>
      </c>
      <c r="M143" s="71">
        <f t="shared" si="46"/>
        <v>100</v>
      </c>
      <c r="N143" s="71">
        <f t="shared" si="45"/>
        <v>0</v>
      </c>
      <c r="O143" s="71">
        <f t="shared" si="47"/>
        <v>100</v>
      </c>
      <c r="P143" s="71">
        <f t="shared" si="48"/>
        <v>0</v>
      </c>
      <c r="Q143" s="71">
        <f t="shared" si="49"/>
        <v>100</v>
      </c>
      <c r="R143" s="71">
        <f t="shared" si="42"/>
        <v>0</v>
      </c>
      <c r="S143" s="71" t="str">
        <f t="shared" si="50"/>
        <v>-</v>
      </c>
      <c r="T143" s="71">
        <f t="shared" si="51"/>
        <v>0</v>
      </c>
    </row>
    <row r="144" spans="1:36" ht="13.5" hidden="1" customHeight="1" outlineLevel="3" x14ac:dyDescent="0.25">
      <c r="A144" s="70" t="s">
        <v>428</v>
      </c>
      <c r="B144" s="106" t="s">
        <v>353</v>
      </c>
      <c r="C144" s="44">
        <f t="shared" si="53"/>
        <v>80</v>
      </c>
      <c r="D144" s="44">
        <f>4</f>
        <v>4</v>
      </c>
      <c r="E144" s="44">
        <f>76</f>
        <v>76</v>
      </c>
      <c r="F144" s="44">
        <v>0</v>
      </c>
      <c r="G144" s="44">
        <v>0</v>
      </c>
      <c r="H144" s="44">
        <f t="shared" si="52"/>
        <v>80</v>
      </c>
      <c r="I144" s="44">
        <f>4</f>
        <v>4</v>
      </c>
      <c r="J144" s="44">
        <f>76</f>
        <v>76</v>
      </c>
      <c r="K144" s="44">
        <v>0</v>
      </c>
      <c r="L144" s="44">
        <v>0</v>
      </c>
      <c r="M144" s="71">
        <f t="shared" si="46"/>
        <v>100</v>
      </c>
      <c r="N144" s="71">
        <f t="shared" si="45"/>
        <v>0</v>
      </c>
      <c r="O144" s="71">
        <f t="shared" si="47"/>
        <v>100</v>
      </c>
      <c r="P144" s="71">
        <f t="shared" si="48"/>
        <v>0</v>
      </c>
      <c r="Q144" s="71">
        <f t="shared" si="49"/>
        <v>100</v>
      </c>
      <c r="R144" s="71">
        <f t="shared" si="42"/>
        <v>0</v>
      </c>
      <c r="S144" s="71" t="str">
        <f t="shared" si="50"/>
        <v>-</v>
      </c>
      <c r="T144" s="71">
        <f t="shared" si="51"/>
        <v>0</v>
      </c>
    </row>
    <row r="145" spans="1:20" ht="13.5" hidden="1" customHeight="1" outlineLevel="3" x14ac:dyDescent="0.25">
      <c r="A145" s="70" t="s">
        <v>430</v>
      </c>
      <c r="B145" s="106" t="s">
        <v>354</v>
      </c>
      <c r="C145" s="44">
        <f t="shared" si="53"/>
        <v>177.9</v>
      </c>
      <c r="D145" s="44">
        <f>8.89474</f>
        <v>8.9</v>
      </c>
      <c r="E145" s="44">
        <f>169</f>
        <v>169</v>
      </c>
      <c r="F145" s="44">
        <v>0</v>
      </c>
      <c r="G145" s="44">
        <v>0</v>
      </c>
      <c r="H145" s="44">
        <f t="shared" si="52"/>
        <v>177.9</v>
      </c>
      <c r="I145" s="44">
        <f>8.89474</f>
        <v>8.9</v>
      </c>
      <c r="J145" s="44">
        <f>169</f>
        <v>169</v>
      </c>
      <c r="K145" s="44">
        <v>0</v>
      </c>
      <c r="L145" s="44">
        <v>0</v>
      </c>
      <c r="M145" s="71">
        <f t="shared" si="46"/>
        <v>100</v>
      </c>
      <c r="N145" s="71">
        <f t="shared" si="45"/>
        <v>0</v>
      </c>
      <c r="O145" s="71">
        <f t="shared" si="47"/>
        <v>100</v>
      </c>
      <c r="P145" s="71">
        <f t="shared" si="48"/>
        <v>0</v>
      </c>
      <c r="Q145" s="71">
        <f t="shared" si="49"/>
        <v>100</v>
      </c>
      <c r="R145" s="71">
        <f t="shared" si="42"/>
        <v>0</v>
      </c>
      <c r="S145" s="71" t="str">
        <f t="shared" si="50"/>
        <v>-</v>
      </c>
      <c r="T145" s="71">
        <f t="shared" si="51"/>
        <v>0</v>
      </c>
    </row>
    <row r="146" spans="1:20" ht="27" hidden="1" customHeight="1" outlineLevel="1" x14ac:dyDescent="0.25">
      <c r="A146" s="6"/>
      <c r="B146" s="58" t="s">
        <v>23</v>
      </c>
      <c r="C146" s="59">
        <f t="shared" si="53"/>
        <v>28895.200000000001</v>
      </c>
      <c r="D146" s="59">
        <f>D147+D148</f>
        <v>23236.400000000001</v>
      </c>
      <c r="E146" s="59">
        <f>E147+E148</f>
        <v>5658.8</v>
      </c>
      <c r="F146" s="59">
        <f>F147+F148</f>
        <v>0</v>
      </c>
      <c r="G146" s="59">
        <f>SUM(G147:G150)</f>
        <v>0</v>
      </c>
      <c r="H146" s="59">
        <f t="shared" si="52"/>
        <v>28408.7</v>
      </c>
      <c r="I146" s="59">
        <f>I147+I148</f>
        <v>23236.400000000001</v>
      </c>
      <c r="J146" s="59">
        <f>J147+J148</f>
        <v>5172.3</v>
      </c>
      <c r="K146" s="59">
        <f>K147+K148</f>
        <v>0</v>
      </c>
      <c r="L146" s="59">
        <f>SUM(L147:L150)</f>
        <v>0</v>
      </c>
      <c r="M146" s="54">
        <f t="shared" si="46"/>
        <v>98.3</v>
      </c>
      <c r="N146" s="54">
        <f t="shared" si="45"/>
        <v>486.5</v>
      </c>
      <c r="O146" s="54">
        <f t="shared" si="47"/>
        <v>100</v>
      </c>
      <c r="P146" s="54">
        <f t="shared" si="48"/>
        <v>0</v>
      </c>
      <c r="Q146" s="54">
        <f t="shared" si="49"/>
        <v>91.4</v>
      </c>
      <c r="R146" s="54">
        <f t="shared" si="42"/>
        <v>486.5</v>
      </c>
      <c r="S146" s="54" t="str">
        <f t="shared" si="50"/>
        <v>-</v>
      </c>
      <c r="T146" s="54">
        <f t="shared" si="51"/>
        <v>0</v>
      </c>
    </row>
    <row r="147" spans="1:20" ht="27" hidden="1" customHeight="1" outlineLevel="2" x14ac:dyDescent="0.25">
      <c r="A147" s="60" t="s">
        <v>77</v>
      </c>
      <c r="B147" s="46" t="s">
        <v>559</v>
      </c>
      <c r="C147" s="44">
        <f t="shared" si="53"/>
        <v>1677.1</v>
      </c>
      <c r="D147" s="44">
        <f>1177.0876</f>
        <v>1177.0999999999999</v>
      </c>
      <c r="E147" s="44">
        <f>500</f>
        <v>500</v>
      </c>
      <c r="F147" s="44">
        <v>0</v>
      </c>
      <c r="G147" s="44">
        <v>0</v>
      </c>
      <c r="H147" s="44">
        <f t="shared" si="52"/>
        <v>1677.1</v>
      </c>
      <c r="I147" s="44">
        <f>1177.0876</f>
        <v>1177.0999999999999</v>
      </c>
      <c r="J147" s="44">
        <f>500</f>
        <v>500</v>
      </c>
      <c r="K147" s="44">
        <v>0</v>
      </c>
      <c r="L147" s="44">
        <v>0</v>
      </c>
      <c r="M147" s="71">
        <f t="shared" si="46"/>
        <v>100</v>
      </c>
      <c r="N147" s="71">
        <f t="shared" si="45"/>
        <v>0</v>
      </c>
      <c r="O147" s="71">
        <f t="shared" si="47"/>
        <v>100</v>
      </c>
      <c r="P147" s="71">
        <f t="shared" si="48"/>
        <v>0</v>
      </c>
      <c r="Q147" s="71">
        <f t="shared" si="49"/>
        <v>100</v>
      </c>
      <c r="R147" s="71">
        <f t="shared" si="42"/>
        <v>0</v>
      </c>
      <c r="S147" s="71" t="str">
        <f t="shared" si="50"/>
        <v>-</v>
      </c>
      <c r="T147" s="71">
        <f t="shared" si="51"/>
        <v>0</v>
      </c>
    </row>
    <row r="148" spans="1:20" ht="13.5" hidden="1" customHeight="1" outlineLevel="2" x14ac:dyDescent="0.25">
      <c r="A148" s="60" t="s">
        <v>78</v>
      </c>
      <c r="B148" s="46" t="s">
        <v>560</v>
      </c>
      <c r="C148" s="44">
        <f t="shared" si="53"/>
        <v>27218.1</v>
      </c>
      <c r="D148" s="44">
        <f>D149+D150</f>
        <v>22059.3</v>
      </c>
      <c r="E148" s="44">
        <f>E149+E150</f>
        <v>5158.8</v>
      </c>
      <c r="F148" s="44">
        <f>F149+F150</f>
        <v>0</v>
      </c>
      <c r="G148" s="44">
        <v>0</v>
      </c>
      <c r="H148" s="44">
        <f t="shared" si="52"/>
        <v>26731.599999999999</v>
      </c>
      <c r="I148" s="44">
        <f>I149+I150</f>
        <v>22059.3</v>
      </c>
      <c r="J148" s="44">
        <f>J149+J150</f>
        <v>4672.3</v>
      </c>
      <c r="K148" s="44">
        <f>K149+K150</f>
        <v>0</v>
      </c>
      <c r="L148" s="44">
        <v>0</v>
      </c>
      <c r="M148" s="71">
        <f t="shared" si="46"/>
        <v>98.2</v>
      </c>
      <c r="N148" s="71">
        <f t="shared" si="45"/>
        <v>486.5</v>
      </c>
      <c r="O148" s="71">
        <f t="shared" si="47"/>
        <v>100</v>
      </c>
      <c r="P148" s="71">
        <f t="shared" si="48"/>
        <v>0</v>
      </c>
      <c r="Q148" s="71">
        <f t="shared" si="49"/>
        <v>90.6</v>
      </c>
      <c r="R148" s="71">
        <f t="shared" si="42"/>
        <v>486.5</v>
      </c>
      <c r="S148" s="71" t="str">
        <f t="shared" si="50"/>
        <v>-</v>
      </c>
      <c r="T148" s="71">
        <f t="shared" si="51"/>
        <v>0</v>
      </c>
    </row>
    <row r="149" spans="1:20" ht="40.5" hidden="1" outlineLevel="3" x14ac:dyDescent="0.25">
      <c r="A149" s="60" t="s">
        <v>425</v>
      </c>
      <c r="B149" s="107" t="s">
        <v>24</v>
      </c>
      <c r="C149" s="44">
        <f t="shared" si="53"/>
        <v>12524.6</v>
      </c>
      <c r="D149" s="44">
        <f>11204.11351</f>
        <v>11204.1</v>
      </c>
      <c r="E149" s="44">
        <f>1320.50913</f>
        <v>1320.5</v>
      </c>
      <c r="F149" s="44"/>
      <c r="G149" s="44"/>
      <c r="H149" s="44">
        <f t="shared" ref="H149:H164" si="54">SUM(I149:K149)</f>
        <v>12524.6</v>
      </c>
      <c r="I149" s="44">
        <f>11204.11351</f>
        <v>11204.1</v>
      </c>
      <c r="J149" s="44">
        <f>1320.50913</f>
        <v>1320.5</v>
      </c>
      <c r="K149" s="44"/>
      <c r="L149" s="44"/>
      <c r="M149" s="71">
        <f t="shared" si="46"/>
        <v>100</v>
      </c>
      <c r="N149" s="71">
        <f t="shared" si="45"/>
        <v>0</v>
      </c>
      <c r="O149" s="71">
        <f t="shared" si="47"/>
        <v>100</v>
      </c>
      <c r="P149" s="71">
        <f t="shared" si="48"/>
        <v>0</v>
      </c>
      <c r="Q149" s="71">
        <f t="shared" si="49"/>
        <v>100</v>
      </c>
      <c r="R149" s="71">
        <f t="shared" si="42"/>
        <v>0</v>
      </c>
      <c r="S149" s="71" t="str">
        <f t="shared" si="50"/>
        <v>-</v>
      </c>
      <c r="T149" s="71">
        <f t="shared" si="51"/>
        <v>0</v>
      </c>
    </row>
    <row r="150" spans="1:20" ht="13.5" hidden="1" customHeight="1" outlineLevel="3" x14ac:dyDescent="0.25">
      <c r="A150" s="70" t="s">
        <v>426</v>
      </c>
      <c r="B150" s="107" t="s">
        <v>288</v>
      </c>
      <c r="C150" s="44">
        <f t="shared" si="53"/>
        <v>14693.5</v>
      </c>
      <c r="D150" s="44">
        <f>10855.20756</f>
        <v>10855.2</v>
      </c>
      <c r="E150" s="44">
        <f>3838.262</f>
        <v>3838.3</v>
      </c>
      <c r="F150" s="44">
        <v>0</v>
      </c>
      <c r="G150" s="44">
        <v>0</v>
      </c>
      <c r="H150" s="44">
        <f t="shared" si="54"/>
        <v>14207</v>
      </c>
      <c r="I150" s="44">
        <f>10855.20756</f>
        <v>10855.2</v>
      </c>
      <c r="J150" s="44">
        <f>3351.7825</f>
        <v>3351.8</v>
      </c>
      <c r="K150" s="44">
        <v>0</v>
      </c>
      <c r="L150" s="44">
        <v>0</v>
      </c>
      <c r="M150" s="71">
        <f t="shared" si="46"/>
        <v>96.7</v>
      </c>
      <c r="N150" s="71">
        <f t="shared" si="45"/>
        <v>486.5</v>
      </c>
      <c r="O150" s="71">
        <f t="shared" si="47"/>
        <v>100</v>
      </c>
      <c r="P150" s="71">
        <f t="shared" si="48"/>
        <v>0</v>
      </c>
      <c r="Q150" s="45">
        <f t="shared" si="49"/>
        <v>87.3</v>
      </c>
      <c r="R150" s="45">
        <f t="shared" si="42"/>
        <v>486.5</v>
      </c>
      <c r="S150" s="71" t="str">
        <f t="shared" si="50"/>
        <v>-</v>
      </c>
      <c r="T150" s="71">
        <f t="shared" si="51"/>
        <v>0</v>
      </c>
    </row>
    <row r="151" spans="1:20" ht="27" hidden="1" outlineLevel="1" x14ac:dyDescent="0.25">
      <c r="A151" s="6"/>
      <c r="B151" s="58" t="s">
        <v>25</v>
      </c>
      <c r="C151" s="59">
        <f t="shared" si="53"/>
        <v>36113.5</v>
      </c>
      <c r="D151" s="59">
        <f>D152+D159</f>
        <v>29750.3</v>
      </c>
      <c r="E151" s="59">
        <f>E152+E159</f>
        <v>6363.2</v>
      </c>
      <c r="F151" s="59">
        <f>F152+F159</f>
        <v>0</v>
      </c>
      <c r="G151" s="59">
        <f>G152+G159</f>
        <v>26184.2</v>
      </c>
      <c r="H151" s="59">
        <f t="shared" si="54"/>
        <v>34890.400000000001</v>
      </c>
      <c r="I151" s="59">
        <f>I152+I159</f>
        <v>29750.3</v>
      </c>
      <c r="J151" s="59">
        <f>J152+J159</f>
        <v>5140.1000000000004</v>
      </c>
      <c r="K151" s="59">
        <f>K152+K159</f>
        <v>0</v>
      </c>
      <c r="L151" s="59">
        <f>L152+L159</f>
        <v>26184.2</v>
      </c>
      <c r="M151" s="54">
        <f t="shared" si="46"/>
        <v>96.6</v>
      </c>
      <c r="N151" s="54">
        <f t="shared" si="45"/>
        <v>1223.0999999999999</v>
      </c>
      <c r="O151" s="54">
        <f t="shared" si="47"/>
        <v>100</v>
      </c>
      <c r="P151" s="54">
        <f t="shared" si="48"/>
        <v>0</v>
      </c>
      <c r="Q151" s="132">
        <f t="shared" si="49"/>
        <v>80.8</v>
      </c>
      <c r="R151" s="132">
        <f t="shared" si="42"/>
        <v>1223.0999999999999</v>
      </c>
      <c r="S151" s="54" t="str">
        <f t="shared" si="50"/>
        <v>-</v>
      </c>
      <c r="T151" s="54">
        <f t="shared" si="51"/>
        <v>0</v>
      </c>
    </row>
    <row r="152" spans="1:20" ht="40.5" hidden="1" customHeight="1" outlineLevel="2" x14ac:dyDescent="0.25">
      <c r="A152" s="60" t="s">
        <v>77</v>
      </c>
      <c r="B152" s="46" t="s">
        <v>561</v>
      </c>
      <c r="C152" s="44">
        <f t="shared" si="53"/>
        <v>35781.5</v>
      </c>
      <c r="D152" s="44">
        <f>SUM(D153:D158)</f>
        <v>29418.3</v>
      </c>
      <c r="E152" s="44">
        <f>SUM(E153:E158)</f>
        <v>6363.2</v>
      </c>
      <c r="F152" s="44">
        <f>SUM(F154:F158)</f>
        <v>0</v>
      </c>
      <c r="G152" s="44">
        <f>SUM(G154:G158)</f>
        <v>26184.2</v>
      </c>
      <c r="H152" s="44">
        <f t="shared" si="54"/>
        <v>34558.400000000001</v>
      </c>
      <c r="I152" s="44">
        <f>SUM(I153:I158)</f>
        <v>29418.3</v>
      </c>
      <c r="J152" s="44">
        <f>SUM(J153:J158)</f>
        <v>5140.1000000000004</v>
      </c>
      <c r="K152" s="44">
        <f>SUM(K154:K158)</f>
        <v>0</v>
      </c>
      <c r="L152" s="44">
        <f>SUM(L154:L158)</f>
        <v>26184.2</v>
      </c>
      <c r="M152" s="71">
        <f t="shared" si="46"/>
        <v>96.6</v>
      </c>
      <c r="N152" s="71">
        <f t="shared" si="45"/>
        <v>1223.0999999999999</v>
      </c>
      <c r="O152" s="71">
        <f t="shared" si="47"/>
        <v>100</v>
      </c>
      <c r="P152" s="71">
        <f t="shared" si="48"/>
        <v>0</v>
      </c>
      <c r="Q152" s="45">
        <f t="shared" si="49"/>
        <v>80.8</v>
      </c>
      <c r="R152" s="45">
        <f t="shared" si="42"/>
        <v>1223.0999999999999</v>
      </c>
      <c r="S152" s="71" t="str">
        <f t="shared" si="50"/>
        <v>-</v>
      </c>
      <c r="T152" s="71">
        <f t="shared" si="51"/>
        <v>0</v>
      </c>
    </row>
    <row r="153" spans="1:20" ht="94.5" hidden="1" customHeight="1" outlineLevel="4" x14ac:dyDescent="0.25">
      <c r="A153" s="60" t="s">
        <v>414</v>
      </c>
      <c r="B153" s="107" t="s">
        <v>26</v>
      </c>
      <c r="C153" s="44">
        <f t="shared" si="53"/>
        <v>5763.2</v>
      </c>
      <c r="D153" s="44">
        <v>0</v>
      </c>
      <c r="E153" s="44">
        <f>5763.2</f>
        <v>5763.2</v>
      </c>
      <c r="F153" s="44">
        <v>0</v>
      </c>
      <c r="G153" s="44">
        <v>0</v>
      </c>
      <c r="H153" s="44">
        <f t="shared" si="54"/>
        <v>4540.1000000000004</v>
      </c>
      <c r="I153" s="44">
        <v>0</v>
      </c>
      <c r="J153" s="44">
        <f>4540.08663</f>
        <v>4540.1000000000004</v>
      </c>
      <c r="K153" s="44">
        <v>0</v>
      </c>
      <c r="L153" s="44">
        <v>0</v>
      </c>
      <c r="M153" s="54">
        <f t="shared" si="46"/>
        <v>78.8</v>
      </c>
      <c r="N153" s="71">
        <f t="shared" si="45"/>
        <v>1223.0999999999999</v>
      </c>
      <c r="O153" s="71" t="str">
        <f t="shared" si="47"/>
        <v>-</v>
      </c>
      <c r="P153" s="71">
        <f t="shared" si="48"/>
        <v>0</v>
      </c>
      <c r="Q153" s="45">
        <f t="shared" si="49"/>
        <v>78.8</v>
      </c>
      <c r="R153" s="45">
        <f t="shared" si="42"/>
        <v>1223.0999999999999</v>
      </c>
      <c r="S153" s="71" t="str">
        <f t="shared" si="50"/>
        <v>-</v>
      </c>
      <c r="T153" s="71">
        <f t="shared" si="51"/>
        <v>0</v>
      </c>
    </row>
    <row r="154" spans="1:20" ht="40.5" hidden="1" outlineLevel="4" x14ac:dyDescent="0.25">
      <c r="A154" s="60" t="s">
        <v>415</v>
      </c>
      <c r="B154" s="107" t="s">
        <v>289</v>
      </c>
      <c r="C154" s="44">
        <f t="shared" si="53"/>
        <v>319.10000000000002</v>
      </c>
      <c r="D154" s="44">
        <f>319.1</f>
        <v>319.10000000000002</v>
      </c>
      <c r="E154" s="44">
        <v>0</v>
      </c>
      <c r="F154" s="44">
        <v>0</v>
      </c>
      <c r="G154" s="44">
        <v>0</v>
      </c>
      <c r="H154" s="44">
        <f t="shared" si="54"/>
        <v>319.10000000000002</v>
      </c>
      <c r="I154" s="44">
        <f>319.1</f>
        <v>319.10000000000002</v>
      </c>
      <c r="J154" s="44">
        <v>0</v>
      </c>
      <c r="K154" s="44">
        <v>0</v>
      </c>
      <c r="L154" s="44">
        <v>0</v>
      </c>
      <c r="M154" s="71">
        <f t="shared" si="46"/>
        <v>100</v>
      </c>
      <c r="N154" s="71">
        <f t="shared" si="45"/>
        <v>0</v>
      </c>
      <c r="O154" s="71">
        <f t="shared" si="47"/>
        <v>100</v>
      </c>
      <c r="P154" s="71">
        <f t="shared" si="48"/>
        <v>0</v>
      </c>
      <c r="Q154" s="71" t="str">
        <f t="shared" si="49"/>
        <v>-</v>
      </c>
      <c r="R154" s="71">
        <f t="shared" si="42"/>
        <v>0</v>
      </c>
      <c r="S154" s="71" t="str">
        <f t="shared" si="50"/>
        <v>-</v>
      </c>
      <c r="T154" s="71">
        <f t="shared" si="51"/>
        <v>0</v>
      </c>
    </row>
    <row r="155" spans="1:20" ht="40.5" hidden="1" outlineLevel="4" x14ac:dyDescent="0.25">
      <c r="A155" s="60" t="s">
        <v>416</v>
      </c>
      <c r="B155" s="107" t="s">
        <v>290</v>
      </c>
      <c r="C155" s="44">
        <f t="shared" si="53"/>
        <v>188.5</v>
      </c>
      <c r="D155" s="44">
        <f>188.5</f>
        <v>188.5</v>
      </c>
      <c r="E155" s="44">
        <v>0</v>
      </c>
      <c r="F155" s="44">
        <v>0</v>
      </c>
      <c r="G155" s="44">
        <v>0</v>
      </c>
      <c r="H155" s="44">
        <f t="shared" si="54"/>
        <v>188.5</v>
      </c>
      <c r="I155" s="44">
        <f>188.5</f>
        <v>188.5</v>
      </c>
      <c r="J155" s="44">
        <v>0</v>
      </c>
      <c r="K155" s="44">
        <v>0</v>
      </c>
      <c r="L155" s="44">
        <v>0</v>
      </c>
      <c r="M155" s="54">
        <f t="shared" si="46"/>
        <v>100</v>
      </c>
      <c r="N155" s="71">
        <f t="shared" si="45"/>
        <v>0</v>
      </c>
      <c r="O155" s="71">
        <f t="shared" si="47"/>
        <v>100</v>
      </c>
      <c r="P155" s="71">
        <f t="shared" si="48"/>
        <v>0</v>
      </c>
      <c r="Q155" s="71" t="str">
        <f t="shared" si="49"/>
        <v>-</v>
      </c>
      <c r="R155" s="71">
        <f t="shared" si="42"/>
        <v>0</v>
      </c>
      <c r="S155" s="71" t="str">
        <f t="shared" si="50"/>
        <v>-</v>
      </c>
      <c r="T155" s="71">
        <f t="shared" si="51"/>
        <v>0</v>
      </c>
    </row>
    <row r="156" spans="1:20" ht="40.5" hidden="1" customHeight="1" outlineLevel="4" x14ac:dyDescent="0.25">
      <c r="A156" s="60" t="s">
        <v>417</v>
      </c>
      <c r="B156" s="107" t="s">
        <v>29</v>
      </c>
      <c r="C156" s="44">
        <f t="shared" si="53"/>
        <v>90.7</v>
      </c>
      <c r="D156" s="44">
        <f>90.7</f>
        <v>90.7</v>
      </c>
      <c r="E156" s="44">
        <v>0</v>
      </c>
      <c r="F156" s="44">
        <v>0</v>
      </c>
      <c r="G156" s="44">
        <v>0</v>
      </c>
      <c r="H156" s="44">
        <f t="shared" si="54"/>
        <v>90.7</v>
      </c>
      <c r="I156" s="44">
        <f>90.7</f>
        <v>90.7</v>
      </c>
      <c r="J156" s="44">
        <v>0</v>
      </c>
      <c r="K156" s="44">
        <v>0</v>
      </c>
      <c r="L156" s="44">
        <v>0</v>
      </c>
      <c r="M156" s="54">
        <f t="shared" si="46"/>
        <v>100</v>
      </c>
      <c r="N156" s="71">
        <f t="shared" si="45"/>
        <v>0</v>
      </c>
      <c r="O156" s="71">
        <f t="shared" si="47"/>
        <v>100</v>
      </c>
      <c r="P156" s="71">
        <f t="shared" si="48"/>
        <v>0</v>
      </c>
      <c r="Q156" s="71" t="str">
        <f t="shared" si="49"/>
        <v>-</v>
      </c>
      <c r="R156" s="71">
        <f t="shared" si="42"/>
        <v>0</v>
      </c>
      <c r="S156" s="71" t="str">
        <f t="shared" si="50"/>
        <v>-</v>
      </c>
      <c r="T156" s="71">
        <f t="shared" si="51"/>
        <v>0</v>
      </c>
    </row>
    <row r="157" spans="1:20" ht="40.5" hidden="1" outlineLevel="4" x14ac:dyDescent="0.25">
      <c r="A157" s="108" t="s">
        <v>418</v>
      </c>
      <c r="B157" s="109" t="s">
        <v>291</v>
      </c>
      <c r="C157" s="110">
        <f t="shared" si="53"/>
        <v>120</v>
      </c>
      <c r="D157" s="110">
        <f>120</f>
        <v>120</v>
      </c>
      <c r="E157" s="110">
        <v>0</v>
      </c>
      <c r="F157" s="110">
        <v>0</v>
      </c>
      <c r="G157" s="110">
        <v>0</v>
      </c>
      <c r="H157" s="110">
        <f t="shared" si="54"/>
        <v>120</v>
      </c>
      <c r="I157" s="110">
        <f>120</f>
        <v>120</v>
      </c>
      <c r="J157" s="110">
        <v>0</v>
      </c>
      <c r="K157" s="110">
        <v>0</v>
      </c>
      <c r="L157" s="110">
        <v>0</v>
      </c>
      <c r="M157" s="111">
        <f t="shared" si="46"/>
        <v>100</v>
      </c>
      <c r="N157" s="112">
        <f t="shared" si="45"/>
        <v>0</v>
      </c>
      <c r="O157" s="112">
        <f t="shared" si="47"/>
        <v>100</v>
      </c>
      <c r="P157" s="112">
        <f t="shared" si="48"/>
        <v>0</v>
      </c>
      <c r="Q157" s="112" t="str">
        <f t="shared" si="49"/>
        <v>-</v>
      </c>
      <c r="R157" s="112">
        <f t="shared" ref="R157:R164" si="55">E157-J157</f>
        <v>0</v>
      </c>
      <c r="S157" s="112" t="str">
        <f t="shared" si="50"/>
        <v>-</v>
      </c>
      <c r="T157" s="112">
        <f t="shared" si="51"/>
        <v>0</v>
      </c>
    </row>
    <row r="158" spans="1:20" s="34" customFormat="1" ht="60" hidden="1" outlineLevel="3" x14ac:dyDescent="0.25">
      <c r="A158" s="113" t="s">
        <v>420</v>
      </c>
      <c r="B158" s="114" t="s">
        <v>454</v>
      </c>
      <c r="C158" s="115">
        <f t="shared" si="53"/>
        <v>29300</v>
      </c>
      <c r="D158" s="210">
        <f>28700.053-0.1</f>
        <v>28700</v>
      </c>
      <c r="E158" s="116">
        <f>600</f>
        <v>600</v>
      </c>
      <c r="F158" s="116">
        <v>0</v>
      </c>
      <c r="G158" s="116">
        <f>26184.2</f>
        <v>26184.2</v>
      </c>
      <c r="H158" s="72">
        <f t="shared" si="54"/>
        <v>29300</v>
      </c>
      <c r="I158" s="210">
        <f>28700.053-0.1</f>
        <v>28700</v>
      </c>
      <c r="J158" s="116">
        <f>600</f>
        <v>600</v>
      </c>
      <c r="K158" s="116"/>
      <c r="L158" s="116">
        <f>26184.2</f>
        <v>26184.2</v>
      </c>
      <c r="M158" s="117">
        <f t="shared" si="46"/>
        <v>100</v>
      </c>
      <c r="N158" s="118"/>
      <c r="O158" s="119">
        <f t="shared" si="47"/>
        <v>100</v>
      </c>
      <c r="P158" s="119">
        <f t="shared" si="48"/>
        <v>0</v>
      </c>
      <c r="Q158" s="119">
        <f t="shared" si="49"/>
        <v>100</v>
      </c>
      <c r="R158" s="119">
        <f t="shared" si="55"/>
        <v>0</v>
      </c>
      <c r="S158" s="119" t="str">
        <f t="shared" si="50"/>
        <v>-</v>
      </c>
      <c r="T158" s="119">
        <f t="shared" si="51"/>
        <v>0</v>
      </c>
    </row>
    <row r="159" spans="1:20" ht="27" hidden="1" customHeight="1" outlineLevel="2" x14ac:dyDescent="0.25">
      <c r="A159" s="60" t="s">
        <v>78</v>
      </c>
      <c r="B159" s="46" t="s">
        <v>562</v>
      </c>
      <c r="C159" s="44">
        <f t="shared" si="53"/>
        <v>332</v>
      </c>
      <c r="D159" s="44">
        <f>SUM(D160:D162)</f>
        <v>332</v>
      </c>
      <c r="E159" s="44">
        <f>SUM(E160:E162)</f>
        <v>0</v>
      </c>
      <c r="F159" s="44">
        <f>SUM(F160:F162)</f>
        <v>0</v>
      </c>
      <c r="G159" s="44">
        <f>SUM(G160:G162)</f>
        <v>0</v>
      </c>
      <c r="H159" s="44">
        <f t="shared" si="54"/>
        <v>332</v>
      </c>
      <c r="I159" s="44">
        <f>SUM(I160:I162)</f>
        <v>332</v>
      </c>
      <c r="J159" s="44">
        <v>0</v>
      </c>
      <c r="K159" s="44">
        <v>0</v>
      </c>
      <c r="L159" s="44">
        <v>0</v>
      </c>
      <c r="M159" s="54">
        <f t="shared" si="46"/>
        <v>100</v>
      </c>
      <c r="N159" s="71">
        <f t="shared" ref="N159:N164" si="56">C159-H159</f>
        <v>0</v>
      </c>
      <c r="O159" s="71">
        <f t="shared" si="47"/>
        <v>100</v>
      </c>
      <c r="P159" s="71">
        <f t="shared" si="48"/>
        <v>0</v>
      </c>
      <c r="Q159" s="71" t="str">
        <f t="shared" si="49"/>
        <v>-</v>
      </c>
      <c r="R159" s="71">
        <f t="shared" si="55"/>
        <v>0</v>
      </c>
      <c r="S159" s="71" t="str">
        <f t="shared" si="50"/>
        <v>-</v>
      </c>
      <c r="T159" s="71">
        <f t="shared" si="51"/>
        <v>0</v>
      </c>
    </row>
    <row r="160" spans="1:20" ht="54" hidden="1" customHeight="1" outlineLevel="3" x14ac:dyDescent="0.25">
      <c r="A160" s="70" t="s">
        <v>426</v>
      </c>
      <c r="B160" s="107" t="s">
        <v>27</v>
      </c>
      <c r="C160" s="44">
        <f t="shared" si="53"/>
        <v>77</v>
      </c>
      <c r="D160" s="44">
        <f>77</f>
        <v>77</v>
      </c>
      <c r="E160" s="44">
        <v>0</v>
      </c>
      <c r="F160" s="44">
        <v>0</v>
      </c>
      <c r="G160" s="44">
        <v>0</v>
      </c>
      <c r="H160" s="44">
        <f t="shared" si="54"/>
        <v>77</v>
      </c>
      <c r="I160" s="44">
        <f>77</f>
        <v>77</v>
      </c>
      <c r="J160" s="44">
        <v>0</v>
      </c>
      <c r="K160" s="44">
        <v>0</v>
      </c>
      <c r="L160" s="44">
        <v>0</v>
      </c>
      <c r="M160" s="54">
        <f t="shared" si="46"/>
        <v>100</v>
      </c>
      <c r="N160" s="71">
        <f t="shared" si="56"/>
        <v>0</v>
      </c>
      <c r="O160" s="71">
        <f t="shared" si="47"/>
        <v>100</v>
      </c>
      <c r="P160" s="71">
        <f t="shared" si="48"/>
        <v>0</v>
      </c>
      <c r="Q160" s="71" t="str">
        <f t="shared" si="49"/>
        <v>-</v>
      </c>
      <c r="R160" s="71">
        <f t="shared" si="55"/>
        <v>0</v>
      </c>
      <c r="S160" s="71" t="str">
        <f t="shared" si="50"/>
        <v>-</v>
      </c>
      <c r="T160" s="71">
        <f t="shared" si="51"/>
        <v>0</v>
      </c>
    </row>
    <row r="161" spans="1:20" ht="54" hidden="1" outlineLevel="3" x14ac:dyDescent="0.25">
      <c r="A161" s="70" t="s">
        <v>427</v>
      </c>
      <c r="B161" s="107" t="s">
        <v>28</v>
      </c>
      <c r="C161" s="44">
        <f t="shared" si="53"/>
        <v>79.099999999999994</v>
      </c>
      <c r="D161" s="44">
        <f>79.1</f>
        <v>79.099999999999994</v>
      </c>
      <c r="E161" s="44">
        <v>0</v>
      </c>
      <c r="F161" s="44">
        <v>0</v>
      </c>
      <c r="G161" s="44"/>
      <c r="H161" s="44">
        <f t="shared" si="54"/>
        <v>79.099999999999994</v>
      </c>
      <c r="I161" s="44">
        <f>79.1</f>
        <v>79.099999999999994</v>
      </c>
      <c r="J161" s="44"/>
      <c r="K161" s="44"/>
      <c r="L161" s="44"/>
      <c r="M161" s="54">
        <f t="shared" si="46"/>
        <v>100</v>
      </c>
      <c r="N161" s="71">
        <f t="shared" si="56"/>
        <v>0</v>
      </c>
      <c r="O161" s="71">
        <f t="shared" si="47"/>
        <v>100</v>
      </c>
      <c r="P161" s="71">
        <f t="shared" si="48"/>
        <v>0</v>
      </c>
      <c r="Q161" s="71" t="str">
        <f t="shared" si="49"/>
        <v>-</v>
      </c>
      <c r="R161" s="71">
        <f t="shared" si="55"/>
        <v>0</v>
      </c>
      <c r="S161" s="71" t="str">
        <f t="shared" si="50"/>
        <v>-</v>
      </c>
      <c r="T161" s="71">
        <f t="shared" si="51"/>
        <v>0</v>
      </c>
    </row>
    <row r="162" spans="1:20" ht="40.5" hidden="1" customHeight="1" outlineLevel="3" x14ac:dyDescent="0.25">
      <c r="A162" s="70" t="s">
        <v>433</v>
      </c>
      <c r="B162" s="107" t="s">
        <v>30</v>
      </c>
      <c r="C162" s="44">
        <f t="shared" si="53"/>
        <v>175.9</v>
      </c>
      <c r="D162" s="44">
        <f>175.9</f>
        <v>175.9</v>
      </c>
      <c r="E162" s="44">
        <v>0</v>
      </c>
      <c r="F162" s="44">
        <v>0</v>
      </c>
      <c r="G162" s="44"/>
      <c r="H162" s="44">
        <f t="shared" si="54"/>
        <v>175.9</v>
      </c>
      <c r="I162" s="44">
        <f>175.9</f>
        <v>175.9</v>
      </c>
      <c r="J162" s="44">
        <v>0</v>
      </c>
      <c r="K162" s="44">
        <v>0</v>
      </c>
      <c r="L162" s="44"/>
      <c r="M162" s="54">
        <f t="shared" si="46"/>
        <v>100</v>
      </c>
      <c r="N162" s="71">
        <f t="shared" si="56"/>
        <v>0</v>
      </c>
      <c r="O162" s="71">
        <f t="shared" si="47"/>
        <v>100</v>
      </c>
      <c r="P162" s="71">
        <f t="shared" si="48"/>
        <v>0</v>
      </c>
      <c r="Q162" s="71" t="str">
        <f t="shared" si="49"/>
        <v>-</v>
      </c>
      <c r="R162" s="71">
        <f t="shared" si="55"/>
        <v>0</v>
      </c>
      <c r="S162" s="71" t="str">
        <f t="shared" si="50"/>
        <v>-</v>
      </c>
      <c r="T162" s="71">
        <f t="shared" si="51"/>
        <v>0</v>
      </c>
    </row>
    <row r="163" spans="1:20" s="22" customFormat="1" ht="27" hidden="1" customHeight="1" outlineLevel="1" x14ac:dyDescent="0.25">
      <c r="A163" s="6"/>
      <c r="B163" s="58" t="s">
        <v>58</v>
      </c>
      <c r="C163" s="59">
        <f t="shared" si="53"/>
        <v>16094.6</v>
      </c>
      <c r="D163" s="59">
        <f>D164</f>
        <v>16094.6</v>
      </c>
      <c r="E163" s="59">
        <f>E164</f>
        <v>0</v>
      </c>
      <c r="F163" s="59">
        <f>F164</f>
        <v>0</v>
      </c>
      <c r="G163" s="59">
        <f>G164</f>
        <v>0</v>
      </c>
      <c r="H163" s="59">
        <f t="shared" si="54"/>
        <v>16094.6</v>
      </c>
      <c r="I163" s="54">
        <f>I164</f>
        <v>16094.6</v>
      </c>
      <c r="J163" s="54">
        <f>J164</f>
        <v>0</v>
      </c>
      <c r="K163" s="54">
        <f>K164</f>
        <v>0</v>
      </c>
      <c r="L163" s="54">
        <f>L164</f>
        <v>0</v>
      </c>
      <c r="M163" s="54">
        <f t="shared" si="46"/>
        <v>100</v>
      </c>
      <c r="N163" s="54">
        <f t="shared" si="56"/>
        <v>0</v>
      </c>
      <c r="O163" s="54">
        <f t="shared" si="47"/>
        <v>100</v>
      </c>
      <c r="P163" s="54">
        <f t="shared" si="48"/>
        <v>0</v>
      </c>
      <c r="Q163" s="54" t="str">
        <f t="shared" si="49"/>
        <v>-</v>
      </c>
      <c r="R163" s="54">
        <f t="shared" si="55"/>
        <v>0</v>
      </c>
      <c r="S163" s="54" t="str">
        <f t="shared" si="50"/>
        <v>-</v>
      </c>
      <c r="T163" s="54">
        <f t="shared" si="51"/>
        <v>0</v>
      </c>
    </row>
    <row r="164" spans="1:20" ht="40.5" hidden="1" outlineLevel="6" x14ac:dyDescent="0.25">
      <c r="A164" s="60"/>
      <c r="B164" s="46" t="s">
        <v>563</v>
      </c>
      <c r="C164" s="44">
        <f t="shared" si="53"/>
        <v>16094.6</v>
      </c>
      <c r="D164" s="44">
        <f>16094.55675</f>
        <v>16094.6</v>
      </c>
      <c r="E164" s="44">
        <v>0</v>
      </c>
      <c r="F164" s="44">
        <v>0</v>
      </c>
      <c r="G164" s="44">
        <v>0</v>
      </c>
      <c r="H164" s="44">
        <f t="shared" si="54"/>
        <v>16094.6</v>
      </c>
      <c r="I164" s="44">
        <f>16094.55675</f>
        <v>16094.6</v>
      </c>
      <c r="J164" s="44">
        <v>0</v>
      </c>
      <c r="K164" s="44">
        <v>0</v>
      </c>
      <c r="L164" s="44">
        <v>0</v>
      </c>
      <c r="M164" s="54">
        <f t="shared" si="46"/>
        <v>100</v>
      </c>
      <c r="N164" s="71">
        <f t="shared" si="56"/>
        <v>0</v>
      </c>
      <c r="O164" s="71">
        <f t="shared" si="47"/>
        <v>100</v>
      </c>
      <c r="P164" s="71">
        <f t="shared" si="48"/>
        <v>0</v>
      </c>
      <c r="Q164" s="71" t="str">
        <f t="shared" si="49"/>
        <v>-</v>
      </c>
      <c r="R164" s="71">
        <f t="shared" si="55"/>
        <v>0</v>
      </c>
      <c r="S164" s="71" t="str">
        <f t="shared" si="50"/>
        <v>-</v>
      </c>
      <c r="T164" s="71">
        <f t="shared" si="51"/>
        <v>0</v>
      </c>
    </row>
    <row r="165" spans="1:20" s="23" customFormat="1" ht="54" collapsed="1" x14ac:dyDescent="0.25">
      <c r="A165" s="48">
        <v>7</v>
      </c>
      <c r="B165" s="41" t="s">
        <v>65</v>
      </c>
      <c r="C165" s="42">
        <f>SUM(D165:F165)</f>
        <v>221777.3</v>
      </c>
      <c r="D165" s="42">
        <f>D166+D172</f>
        <v>215335.1</v>
      </c>
      <c r="E165" s="42">
        <f>E166+E172</f>
        <v>1063.5</v>
      </c>
      <c r="F165" s="42">
        <f>F166+F172</f>
        <v>5378.7</v>
      </c>
      <c r="G165" s="42">
        <f>G166+G172</f>
        <v>0</v>
      </c>
      <c r="H165" s="42">
        <f>SUM(I165:K165)</f>
        <v>219512.5</v>
      </c>
      <c r="I165" s="42">
        <f>I166+I172</f>
        <v>213104</v>
      </c>
      <c r="J165" s="42">
        <f>J166+J172</f>
        <v>1063.5</v>
      </c>
      <c r="K165" s="42">
        <f>K166+K172</f>
        <v>5345</v>
      </c>
      <c r="L165" s="42">
        <f>L166+L172</f>
        <v>0</v>
      </c>
      <c r="M165" s="42">
        <f t="shared" ref="M165:M173" si="57">IFERROR(H165/C165*100,"-")</f>
        <v>99</v>
      </c>
      <c r="N165" s="42">
        <f t="shared" ref="N165:N180" si="58">C165-H165</f>
        <v>2264.8000000000002</v>
      </c>
      <c r="O165" s="42">
        <f t="shared" ref="O165:O173" si="59">IFERROR(I165/D165*100,"-")</f>
        <v>99</v>
      </c>
      <c r="P165" s="42">
        <f t="shared" ref="P165:P178" si="60">D165-I165</f>
        <v>2231.1</v>
      </c>
      <c r="Q165" s="42">
        <f t="shared" ref="Q165:Q173" si="61">IFERROR(J165/E165*100,"-")</f>
        <v>100</v>
      </c>
      <c r="R165" s="42">
        <f t="shared" ref="R165:R178" si="62">E165-J165</f>
        <v>0</v>
      </c>
      <c r="S165" s="42">
        <f t="shared" ref="S165:S173" si="63">IFERROR(K165/F165*100,"-")</f>
        <v>99.4</v>
      </c>
      <c r="T165" s="42">
        <f t="shared" ref="T165:T180" si="64">F165-K165</f>
        <v>33.700000000000003</v>
      </c>
    </row>
    <row r="166" spans="1:20" ht="27" hidden="1" customHeight="1" outlineLevel="1" x14ac:dyDescent="0.25">
      <c r="A166" s="31"/>
      <c r="B166" s="122" t="s">
        <v>327</v>
      </c>
      <c r="C166" s="54">
        <f>SUM(D166:F166)</f>
        <v>220858.3</v>
      </c>
      <c r="D166" s="54">
        <f>D167+D168</f>
        <v>214416.1</v>
      </c>
      <c r="E166" s="54">
        <f>E167+E168</f>
        <v>1063.5</v>
      </c>
      <c r="F166" s="54">
        <f>F167+F168</f>
        <v>5378.7</v>
      </c>
      <c r="G166" s="54">
        <f>G167+G168</f>
        <v>0</v>
      </c>
      <c r="H166" s="54">
        <f>SUM(I166:K166)</f>
        <v>218609.2</v>
      </c>
      <c r="I166" s="54">
        <f>I167+I168</f>
        <v>212200.7</v>
      </c>
      <c r="J166" s="54">
        <f>J167+J168</f>
        <v>1063.5</v>
      </c>
      <c r="K166" s="54">
        <f>K167+K168</f>
        <v>5345</v>
      </c>
      <c r="L166" s="54">
        <f>L167+L168</f>
        <v>0</v>
      </c>
      <c r="M166" s="54">
        <f t="shared" si="57"/>
        <v>99</v>
      </c>
      <c r="N166" s="54">
        <f t="shared" si="58"/>
        <v>2249.1</v>
      </c>
      <c r="O166" s="54">
        <f t="shared" si="59"/>
        <v>99</v>
      </c>
      <c r="P166" s="54">
        <f t="shared" si="60"/>
        <v>2215.4</v>
      </c>
      <c r="Q166" s="54">
        <f t="shared" si="61"/>
        <v>100</v>
      </c>
      <c r="R166" s="54">
        <f t="shared" si="62"/>
        <v>0</v>
      </c>
      <c r="S166" s="54">
        <f t="shared" si="63"/>
        <v>99.4</v>
      </c>
      <c r="T166" s="54">
        <f t="shared" si="64"/>
        <v>33.700000000000003</v>
      </c>
    </row>
    <row r="167" spans="1:20" ht="27" hidden="1" customHeight="1" outlineLevel="2" x14ac:dyDescent="0.25">
      <c r="A167" s="31"/>
      <c r="B167" s="159" t="s">
        <v>620</v>
      </c>
      <c r="C167" s="71">
        <f t="shared" ref="C167:C176" si="65">SUM(D167:F167)</f>
        <v>214416.1</v>
      </c>
      <c r="D167" s="71">
        <f>204597.3+9818.8</f>
        <v>214416.1</v>
      </c>
      <c r="E167" s="71">
        <v>0</v>
      </c>
      <c r="F167" s="71">
        <v>0</v>
      </c>
      <c r="G167" s="71">
        <v>0</v>
      </c>
      <c r="H167" s="71">
        <f t="shared" ref="H167:H177" si="66">SUM(I167:K167)</f>
        <v>212200.7</v>
      </c>
      <c r="I167" s="44">
        <f>202384.2+9816.5</f>
        <v>212200.7</v>
      </c>
      <c r="J167" s="44">
        <v>0</v>
      </c>
      <c r="K167" s="44">
        <v>0</v>
      </c>
      <c r="L167" s="44">
        <v>0</v>
      </c>
      <c r="M167" s="71">
        <f t="shared" si="57"/>
        <v>99</v>
      </c>
      <c r="N167" s="71">
        <f t="shared" si="58"/>
        <v>2215.4</v>
      </c>
      <c r="O167" s="71">
        <f t="shared" si="59"/>
        <v>99</v>
      </c>
      <c r="P167" s="71">
        <f t="shared" si="60"/>
        <v>2215.4</v>
      </c>
      <c r="Q167" s="71" t="str">
        <f t="shared" si="61"/>
        <v>-</v>
      </c>
      <c r="R167" s="71">
        <f t="shared" si="62"/>
        <v>0</v>
      </c>
      <c r="S167" s="71" t="str">
        <f t="shared" si="63"/>
        <v>-</v>
      </c>
      <c r="T167" s="71">
        <f t="shared" si="64"/>
        <v>0</v>
      </c>
    </row>
    <row r="168" spans="1:20" ht="27" hidden="1" customHeight="1" outlineLevel="2" x14ac:dyDescent="0.25">
      <c r="A168" s="31"/>
      <c r="B168" s="159" t="s">
        <v>609</v>
      </c>
      <c r="C168" s="71">
        <f t="shared" si="65"/>
        <v>6442.2</v>
      </c>
      <c r="D168" s="71">
        <f>SUM(D169:D171)</f>
        <v>0</v>
      </c>
      <c r="E168" s="71">
        <f>SUM(E169:E171)</f>
        <v>1063.5</v>
      </c>
      <c r="F168" s="71">
        <f>SUM(F169:F171)</f>
        <v>5378.7</v>
      </c>
      <c r="G168" s="71">
        <f>SUM(G169:G171)</f>
        <v>0</v>
      </c>
      <c r="H168" s="71">
        <f t="shared" si="66"/>
        <v>6408.5</v>
      </c>
      <c r="I168" s="44">
        <f>SUM(I169:I171)</f>
        <v>0</v>
      </c>
      <c r="J168" s="44">
        <f>SUM(J169:J171)</f>
        <v>1063.5</v>
      </c>
      <c r="K168" s="44">
        <f>SUM(K169:K171)</f>
        <v>5345</v>
      </c>
      <c r="L168" s="44">
        <f>SUM(L169:L171)</f>
        <v>0</v>
      </c>
      <c r="M168" s="71">
        <f t="shared" si="57"/>
        <v>99.5</v>
      </c>
      <c r="N168" s="71">
        <f t="shared" si="58"/>
        <v>33.700000000000003</v>
      </c>
      <c r="O168" s="71" t="str">
        <f t="shared" si="59"/>
        <v>-</v>
      </c>
      <c r="P168" s="71">
        <f t="shared" si="60"/>
        <v>0</v>
      </c>
      <c r="Q168" s="71">
        <f t="shared" si="61"/>
        <v>100</v>
      </c>
      <c r="R168" s="71">
        <f t="shared" si="62"/>
        <v>0</v>
      </c>
      <c r="S168" s="71">
        <f t="shared" si="63"/>
        <v>99.4</v>
      </c>
      <c r="T168" s="71">
        <f t="shared" si="64"/>
        <v>33.700000000000003</v>
      </c>
    </row>
    <row r="169" spans="1:20" ht="40.5" hidden="1" outlineLevel="2" x14ac:dyDescent="0.25">
      <c r="A169" s="205"/>
      <c r="B169" s="140" t="s">
        <v>621</v>
      </c>
      <c r="C169" s="45">
        <f t="shared" si="65"/>
        <v>6053.2</v>
      </c>
      <c r="D169" s="45">
        <v>0</v>
      </c>
      <c r="E169" s="45">
        <v>709.9</v>
      </c>
      <c r="F169" s="45">
        <v>5343.3</v>
      </c>
      <c r="G169" s="45">
        <v>0</v>
      </c>
      <c r="H169" s="45">
        <f t="shared" si="66"/>
        <v>6053.2</v>
      </c>
      <c r="I169" s="45">
        <v>0</v>
      </c>
      <c r="J169" s="45">
        <v>709.9</v>
      </c>
      <c r="K169" s="45">
        <v>5343.3</v>
      </c>
      <c r="L169" s="45">
        <v>0</v>
      </c>
      <c r="M169" s="45">
        <f t="shared" si="57"/>
        <v>100</v>
      </c>
      <c r="N169" s="45">
        <f t="shared" si="58"/>
        <v>0</v>
      </c>
      <c r="O169" s="45" t="str">
        <f t="shared" si="59"/>
        <v>-</v>
      </c>
      <c r="P169" s="45">
        <f t="shared" si="60"/>
        <v>0</v>
      </c>
      <c r="Q169" s="45">
        <f t="shared" si="61"/>
        <v>100</v>
      </c>
      <c r="R169" s="45">
        <f t="shared" si="62"/>
        <v>0</v>
      </c>
      <c r="S169" s="45">
        <f t="shared" si="63"/>
        <v>100</v>
      </c>
      <c r="T169" s="45">
        <f t="shared" si="64"/>
        <v>0</v>
      </c>
    </row>
    <row r="170" spans="1:20" ht="27" hidden="1" outlineLevel="2" x14ac:dyDescent="0.25">
      <c r="A170" s="205"/>
      <c r="B170" s="140" t="s">
        <v>622</v>
      </c>
      <c r="C170" s="45">
        <f t="shared" si="65"/>
        <v>353.6</v>
      </c>
      <c r="D170" s="45">
        <v>0</v>
      </c>
      <c r="E170" s="45">
        <v>353.6</v>
      </c>
      <c r="F170" s="45">
        <v>0</v>
      </c>
      <c r="G170" s="45">
        <v>0</v>
      </c>
      <c r="H170" s="45">
        <f t="shared" si="66"/>
        <v>353.6</v>
      </c>
      <c r="I170" s="45">
        <v>0</v>
      </c>
      <c r="J170" s="45">
        <v>353.6</v>
      </c>
      <c r="K170" s="45">
        <v>0</v>
      </c>
      <c r="L170" s="45">
        <v>0</v>
      </c>
      <c r="M170" s="45">
        <f t="shared" si="57"/>
        <v>100</v>
      </c>
      <c r="N170" s="45">
        <f t="shared" si="58"/>
        <v>0</v>
      </c>
      <c r="O170" s="45" t="str">
        <f t="shared" si="59"/>
        <v>-</v>
      </c>
      <c r="P170" s="45">
        <f t="shared" si="60"/>
        <v>0</v>
      </c>
      <c r="Q170" s="45">
        <f t="shared" si="61"/>
        <v>100</v>
      </c>
      <c r="R170" s="45">
        <f t="shared" si="62"/>
        <v>0</v>
      </c>
      <c r="S170" s="45" t="str">
        <f t="shared" si="63"/>
        <v>-</v>
      </c>
      <c r="T170" s="45">
        <f t="shared" si="64"/>
        <v>0</v>
      </c>
    </row>
    <row r="171" spans="1:20" ht="54" hidden="1" customHeight="1" outlineLevel="2" x14ac:dyDescent="0.25">
      <c r="A171" s="205"/>
      <c r="B171" s="140" t="s">
        <v>623</v>
      </c>
      <c r="C171" s="45">
        <f t="shared" si="65"/>
        <v>35.4</v>
      </c>
      <c r="D171" s="45">
        <v>0</v>
      </c>
      <c r="E171" s="45">
        <v>0</v>
      </c>
      <c r="F171" s="45">
        <v>35.4</v>
      </c>
      <c r="G171" s="45">
        <v>0</v>
      </c>
      <c r="H171" s="45">
        <f t="shared" si="66"/>
        <v>1.7</v>
      </c>
      <c r="I171" s="45">
        <v>0</v>
      </c>
      <c r="J171" s="45">
        <v>0</v>
      </c>
      <c r="K171" s="45">
        <v>1.7</v>
      </c>
      <c r="L171" s="45">
        <v>0</v>
      </c>
      <c r="M171" s="45">
        <f t="shared" si="57"/>
        <v>4.8</v>
      </c>
      <c r="N171" s="45">
        <f t="shared" si="58"/>
        <v>33.700000000000003</v>
      </c>
      <c r="O171" s="45" t="str">
        <f t="shared" si="59"/>
        <v>-</v>
      </c>
      <c r="P171" s="45">
        <f t="shared" si="60"/>
        <v>0</v>
      </c>
      <c r="Q171" s="45" t="str">
        <f t="shared" si="61"/>
        <v>-</v>
      </c>
      <c r="R171" s="45">
        <f t="shared" si="62"/>
        <v>0</v>
      </c>
      <c r="S171" s="45">
        <f t="shared" si="63"/>
        <v>4.8</v>
      </c>
      <c r="T171" s="45">
        <f t="shared" si="64"/>
        <v>33.700000000000003</v>
      </c>
    </row>
    <row r="172" spans="1:20" s="22" customFormat="1" ht="27" hidden="1" customHeight="1" outlineLevel="1" x14ac:dyDescent="0.25">
      <c r="A172" s="31"/>
      <c r="B172" s="122" t="s">
        <v>63</v>
      </c>
      <c r="C172" s="59">
        <f t="shared" si="65"/>
        <v>919</v>
      </c>
      <c r="D172" s="59">
        <f>D173</f>
        <v>919</v>
      </c>
      <c r="E172" s="59">
        <f>E173</f>
        <v>0</v>
      </c>
      <c r="F172" s="59">
        <f>F173</f>
        <v>0</v>
      </c>
      <c r="G172" s="59">
        <f>G173</f>
        <v>0</v>
      </c>
      <c r="H172" s="54">
        <f t="shared" si="66"/>
        <v>903.3</v>
      </c>
      <c r="I172" s="59">
        <f>I173</f>
        <v>903.3</v>
      </c>
      <c r="J172" s="59">
        <f>J173</f>
        <v>0</v>
      </c>
      <c r="K172" s="59">
        <f>K173</f>
        <v>0</v>
      </c>
      <c r="L172" s="59">
        <f>L173</f>
        <v>0</v>
      </c>
      <c r="M172" s="54">
        <f t="shared" si="57"/>
        <v>98.3</v>
      </c>
      <c r="N172" s="54">
        <f t="shared" si="58"/>
        <v>15.7</v>
      </c>
      <c r="O172" s="54">
        <f t="shared" si="59"/>
        <v>98.3</v>
      </c>
      <c r="P172" s="54">
        <f t="shared" si="60"/>
        <v>15.7</v>
      </c>
      <c r="Q172" s="54" t="str">
        <f t="shared" si="61"/>
        <v>-</v>
      </c>
      <c r="R172" s="54">
        <f t="shared" si="62"/>
        <v>0</v>
      </c>
      <c r="S172" s="54" t="str">
        <f t="shared" si="63"/>
        <v>-</v>
      </c>
      <c r="T172" s="71">
        <f t="shared" si="64"/>
        <v>0</v>
      </c>
    </row>
    <row r="173" spans="1:20" ht="27" hidden="1" customHeight="1" outlineLevel="2" x14ac:dyDescent="0.25">
      <c r="A173" s="31"/>
      <c r="B173" s="46" t="s">
        <v>624</v>
      </c>
      <c r="C173" s="44">
        <f t="shared" si="65"/>
        <v>919</v>
      </c>
      <c r="D173" s="44">
        <f>D174+D175+D176</f>
        <v>919</v>
      </c>
      <c r="E173" s="44">
        <f>E174+E175</f>
        <v>0</v>
      </c>
      <c r="F173" s="44">
        <f>F174+F175</f>
        <v>0</v>
      </c>
      <c r="G173" s="44"/>
      <c r="H173" s="44">
        <f t="shared" si="66"/>
        <v>903.3</v>
      </c>
      <c r="I173" s="44">
        <f>I174+I175+I176</f>
        <v>903.3</v>
      </c>
      <c r="J173" s="44">
        <f>J174+J175</f>
        <v>0</v>
      </c>
      <c r="K173" s="44">
        <f>K174+K175</f>
        <v>0</v>
      </c>
      <c r="L173" s="44"/>
      <c r="M173" s="54">
        <f t="shared" si="57"/>
        <v>98.3</v>
      </c>
      <c r="N173" s="54">
        <f t="shared" si="58"/>
        <v>15.7</v>
      </c>
      <c r="O173" s="54">
        <f t="shared" si="59"/>
        <v>98.3</v>
      </c>
      <c r="P173" s="54">
        <f t="shared" si="60"/>
        <v>15.7</v>
      </c>
      <c r="Q173" s="54" t="str">
        <f t="shared" si="61"/>
        <v>-</v>
      </c>
      <c r="R173" s="54">
        <f t="shared" si="62"/>
        <v>0</v>
      </c>
      <c r="S173" s="54" t="str">
        <f t="shared" si="63"/>
        <v>-</v>
      </c>
      <c r="T173" s="71">
        <f t="shared" si="64"/>
        <v>0</v>
      </c>
    </row>
    <row r="174" spans="1:20" ht="27" hidden="1" customHeight="1" outlineLevel="3" x14ac:dyDescent="0.25">
      <c r="A174" s="31"/>
      <c r="B174" s="55" t="s">
        <v>328</v>
      </c>
      <c r="C174" s="44">
        <f t="shared" si="65"/>
        <v>348.6</v>
      </c>
      <c r="D174" s="44">
        <v>348.6</v>
      </c>
      <c r="E174" s="44">
        <v>0</v>
      </c>
      <c r="F174" s="44">
        <v>0</v>
      </c>
      <c r="G174" s="44">
        <v>0</v>
      </c>
      <c r="H174" s="44">
        <f t="shared" si="66"/>
        <v>348.6</v>
      </c>
      <c r="I174" s="44">
        <v>348.6</v>
      </c>
      <c r="J174" s="44">
        <v>0</v>
      </c>
      <c r="K174" s="44">
        <v>0</v>
      </c>
      <c r="L174" s="44">
        <v>0</v>
      </c>
      <c r="M174" s="44">
        <f t="shared" ref="M174:M181" si="67">IFERROR(H174/C174*100,"-")</f>
        <v>100</v>
      </c>
      <c r="N174" s="44">
        <f t="shared" si="58"/>
        <v>0</v>
      </c>
      <c r="O174" s="44">
        <f t="shared" ref="O174:O193" si="68">IFERROR(I174/D174*100,"-")</f>
        <v>100</v>
      </c>
      <c r="P174" s="44">
        <f t="shared" si="60"/>
        <v>0</v>
      </c>
      <c r="Q174" s="44" t="str">
        <f t="shared" ref="Q174:Q193" si="69">IFERROR(J174/E174*100,"-")</f>
        <v>-</v>
      </c>
      <c r="R174" s="44">
        <f t="shared" si="62"/>
        <v>0</v>
      </c>
      <c r="S174" s="44" t="str">
        <f t="shared" ref="S174:S193" si="70">IFERROR(K174/F174*100,"-")</f>
        <v>-</v>
      </c>
      <c r="T174" s="44">
        <f t="shared" si="64"/>
        <v>0</v>
      </c>
    </row>
    <row r="175" spans="1:20" ht="13.5" hidden="1" customHeight="1" outlineLevel="3" x14ac:dyDescent="0.25">
      <c r="A175" s="31"/>
      <c r="B175" s="55" t="s">
        <v>32</v>
      </c>
      <c r="C175" s="44">
        <f t="shared" si="65"/>
        <v>471.6</v>
      </c>
      <c r="D175" s="44">
        <v>471.6</v>
      </c>
      <c r="E175" s="44">
        <v>0</v>
      </c>
      <c r="F175" s="44">
        <v>0</v>
      </c>
      <c r="G175" s="44">
        <v>0</v>
      </c>
      <c r="H175" s="44">
        <f t="shared" si="66"/>
        <v>471.6</v>
      </c>
      <c r="I175" s="44">
        <v>471.6</v>
      </c>
      <c r="J175" s="44">
        <v>0</v>
      </c>
      <c r="K175" s="44">
        <v>0</v>
      </c>
      <c r="L175" s="44">
        <v>0</v>
      </c>
      <c r="M175" s="44">
        <f t="shared" si="67"/>
        <v>100</v>
      </c>
      <c r="N175" s="44">
        <f t="shared" si="58"/>
        <v>0</v>
      </c>
      <c r="O175" s="44">
        <f t="shared" si="68"/>
        <v>100</v>
      </c>
      <c r="P175" s="44">
        <f t="shared" si="60"/>
        <v>0</v>
      </c>
      <c r="Q175" s="44" t="str">
        <f t="shared" si="69"/>
        <v>-</v>
      </c>
      <c r="R175" s="44">
        <f t="shared" si="62"/>
        <v>0</v>
      </c>
      <c r="S175" s="44" t="str">
        <f t="shared" si="70"/>
        <v>-</v>
      </c>
      <c r="T175" s="44">
        <f t="shared" si="64"/>
        <v>0</v>
      </c>
    </row>
    <row r="176" spans="1:20" ht="13.5" hidden="1" customHeight="1" outlineLevel="3" x14ac:dyDescent="0.25">
      <c r="A176" s="31"/>
      <c r="B176" s="55" t="s">
        <v>364</v>
      </c>
      <c r="C176" s="44">
        <f t="shared" si="65"/>
        <v>98.8</v>
      </c>
      <c r="D176" s="44">
        <v>98.8</v>
      </c>
      <c r="E176" s="44">
        <v>0</v>
      </c>
      <c r="F176" s="44">
        <v>0</v>
      </c>
      <c r="G176" s="44">
        <v>0</v>
      </c>
      <c r="H176" s="44">
        <f t="shared" si="66"/>
        <v>83.1</v>
      </c>
      <c r="I176" s="44">
        <v>83.1</v>
      </c>
      <c r="J176" s="44">
        <v>0</v>
      </c>
      <c r="K176" s="44">
        <v>0</v>
      </c>
      <c r="L176" s="44">
        <v>0</v>
      </c>
      <c r="M176" s="44">
        <f t="shared" si="67"/>
        <v>84.1</v>
      </c>
      <c r="N176" s="44">
        <f t="shared" si="58"/>
        <v>15.7</v>
      </c>
      <c r="O176" s="44">
        <f t="shared" si="68"/>
        <v>84.1</v>
      </c>
      <c r="P176" s="44">
        <f t="shared" si="60"/>
        <v>15.7</v>
      </c>
      <c r="Q176" s="44" t="str">
        <f t="shared" si="69"/>
        <v>-</v>
      </c>
      <c r="R176" s="44">
        <f t="shared" si="62"/>
        <v>0</v>
      </c>
      <c r="S176" s="44" t="str">
        <f t="shared" si="70"/>
        <v>-</v>
      </c>
      <c r="T176" s="44">
        <f t="shared" si="64"/>
        <v>0</v>
      </c>
    </row>
    <row r="177" spans="1:20" s="62" customFormat="1" ht="35.25" customHeight="1" collapsed="1" x14ac:dyDescent="0.25">
      <c r="A177" s="48">
        <v>8</v>
      </c>
      <c r="B177" s="41" t="s">
        <v>33</v>
      </c>
      <c r="C177" s="42">
        <f>SUM(D177:F177)</f>
        <v>47565.4</v>
      </c>
      <c r="D177" s="42">
        <f>D178+D179+D180+D181+D182+D183+D187</f>
        <v>18397.599999999999</v>
      </c>
      <c r="E177" s="42">
        <f>E178+E179+E180+E181+E182+E183+E187</f>
        <v>29167.8</v>
      </c>
      <c r="F177" s="42">
        <f>F178+F179+F180+F181+F182+F183+F187</f>
        <v>0</v>
      </c>
      <c r="G177" s="42">
        <f>G178+G179+G180+G181+G182+G184+G187</f>
        <v>0</v>
      </c>
      <c r="H177" s="42">
        <f t="shared" si="66"/>
        <v>44291.199999999997</v>
      </c>
      <c r="I177" s="42">
        <f>I178+I179+I180+I181+I182+I183+I187</f>
        <v>15302.2</v>
      </c>
      <c r="J177" s="42">
        <f>J178+J179+J180+J181+J182+J183+J187</f>
        <v>28989</v>
      </c>
      <c r="K177" s="42">
        <f>K178+K179+K180+K181+K182+K184+K187</f>
        <v>0</v>
      </c>
      <c r="L177" s="42">
        <f>L178+L179+L180+L181+L182+L184+L187</f>
        <v>0</v>
      </c>
      <c r="M177" s="42">
        <f t="shared" si="67"/>
        <v>93.1</v>
      </c>
      <c r="N177" s="42">
        <f t="shared" si="58"/>
        <v>3274.2</v>
      </c>
      <c r="O177" s="42">
        <f t="shared" si="68"/>
        <v>83.2</v>
      </c>
      <c r="P177" s="42">
        <f t="shared" si="60"/>
        <v>3095.4</v>
      </c>
      <c r="Q177" s="42">
        <f t="shared" si="69"/>
        <v>99.4</v>
      </c>
      <c r="R177" s="42">
        <f t="shared" si="62"/>
        <v>178.8</v>
      </c>
      <c r="S177" s="42" t="str">
        <f t="shared" si="70"/>
        <v>-</v>
      </c>
      <c r="T177" s="42">
        <f t="shared" si="64"/>
        <v>0</v>
      </c>
    </row>
    <row r="178" spans="1:20" ht="13.5" hidden="1" customHeight="1" outlineLevel="1" x14ac:dyDescent="0.25">
      <c r="A178" s="70"/>
      <c r="B178" s="46" t="s">
        <v>488</v>
      </c>
      <c r="C178" s="44">
        <f>SUM(D178:F178)</f>
        <v>30250</v>
      </c>
      <c r="D178" s="71">
        <v>5000</v>
      </c>
      <c r="E178" s="71">
        <f>23408.6+1841.4</f>
        <v>25250</v>
      </c>
      <c r="F178" s="71">
        <v>0</v>
      </c>
      <c r="G178" s="71"/>
      <c r="H178" s="71">
        <f>SUM(I178:K178)</f>
        <v>27550.1</v>
      </c>
      <c r="I178" s="71">
        <f>1954.65933+345.456</f>
        <v>2300.1</v>
      </c>
      <c r="J178" s="71">
        <f>23408.6+1841.4</f>
        <v>25250</v>
      </c>
      <c r="K178" s="71">
        <v>0</v>
      </c>
      <c r="L178" s="71"/>
      <c r="M178" s="44">
        <f t="shared" si="67"/>
        <v>91.1</v>
      </c>
      <c r="N178" s="44">
        <f>C178-H178</f>
        <v>2699.9</v>
      </c>
      <c r="O178" s="44">
        <f t="shared" si="68"/>
        <v>46</v>
      </c>
      <c r="P178" s="44">
        <f t="shared" si="60"/>
        <v>2699.9</v>
      </c>
      <c r="Q178" s="44">
        <f t="shared" si="69"/>
        <v>100</v>
      </c>
      <c r="R178" s="44">
        <f t="shared" si="62"/>
        <v>0</v>
      </c>
      <c r="S178" s="44" t="str">
        <f t="shared" si="70"/>
        <v>-</v>
      </c>
      <c r="T178" s="44">
        <f t="shared" si="64"/>
        <v>0</v>
      </c>
    </row>
    <row r="179" spans="1:20" s="57" customFormat="1" ht="27" hidden="1" customHeight="1" outlineLevel="1" x14ac:dyDescent="0.25">
      <c r="A179" s="6"/>
      <c r="B179" s="46" t="s">
        <v>489</v>
      </c>
      <c r="C179" s="44">
        <f t="shared" ref="C179:C219" si="71">SUM(D179:F179)</f>
        <v>26.6</v>
      </c>
      <c r="D179" s="44">
        <v>0</v>
      </c>
      <c r="E179" s="44">
        <v>26.6</v>
      </c>
      <c r="F179" s="44">
        <v>0</v>
      </c>
      <c r="G179" s="44">
        <v>0</v>
      </c>
      <c r="H179" s="44">
        <f>SUM(I179:K179)</f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f t="shared" si="67"/>
        <v>0</v>
      </c>
      <c r="N179" s="44">
        <f t="shared" si="58"/>
        <v>26.6</v>
      </c>
      <c r="O179" s="44" t="str">
        <f>IFERROR(I179/D179*100,"-")</f>
        <v>-</v>
      </c>
      <c r="P179" s="44">
        <f>D179-I179</f>
        <v>0</v>
      </c>
      <c r="Q179" s="44">
        <f>IFERROR(J179/E179*100,"-")</f>
        <v>0</v>
      </c>
      <c r="R179" s="44">
        <f>E179-J179</f>
        <v>26.6</v>
      </c>
      <c r="S179" s="44" t="str">
        <f t="shared" si="70"/>
        <v>-</v>
      </c>
      <c r="T179" s="44">
        <f t="shared" si="64"/>
        <v>0</v>
      </c>
    </row>
    <row r="180" spans="1:20" ht="27" hidden="1" customHeight="1" outlineLevel="1" x14ac:dyDescent="0.25">
      <c r="A180" s="32"/>
      <c r="B180" s="46" t="s">
        <v>490</v>
      </c>
      <c r="C180" s="44">
        <f t="shared" si="71"/>
        <v>3499.2</v>
      </c>
      <c r="D180" s="44">
        <v>0</v>
      </c>
      <c r="E180" s="44">
        <v>3499.2</v>
      </c>
      <c r="F180" s="44">
        <v>0</v>
      </c>
      <c r="G180" s="44">
        <v>0</v>
      </c>
      <c r="H180" s="44">
        <f>SUM(I180:K180)</f>
        <v>3371.2</v>
      </c>
      <c r="I180" s="44">
        <v>0</v>
      </c>
      <c r="J180" s="44">
        <v>3371.2</v>
      </c>
      <c r="K180" s="44">
        <v>0</v>
      </c>
      <c r="L180" s="44">
        <v>0</v>
      </c>
      <c r="M180" s="44">
        <f t="shared" si="67"/>
        <v>96.3</v>
      </c>
      <c r="N180" s="44">
        <f t="shared" si="58"/>
        <v>128</v>
      </c>
      <c r="O180" s="44" t="str">
        <f>IFERROR(I180/D180*100,"-")</f>
        <v>-</v>
      </c>
      <c r="P180" s="44">
        <f>D180-I180</f>
        <v>0</v>
      </c>
      <c r="Q180" s="44">
        <f>IFERROR(J180/E180*100,"-")</f>
        <v>96.3</v>
      </c>
      <c r="R180" s="44">
        <f>E180-J180</f>
        <v>128</v>
      </c>
      <c r="S180" s="44" t="str">
        <f t="shared" si="70"/>
        <v>-</v>
      </c>
      <c r="T180" s="44">
        <f t="shared" si="64"/>
        <v>0</v>
      </c>
    </row>
    <row r="181" spans="1:20" ht="54" hidden="1" outlineLevel="1" x14ac:dyDescent="0.25">
      <c r="A181" s="35"/>
      <c r="B181" s="46" t="s">
        <v>491</v>
      </c>
      <c r="C181" s="44">
        <f t="shared" si="71"/>
        <v>1863.7</v>
      </c>
      <c r="D181" s="44">
        <v>1599.6</v>
      </c>
      <c r="E181" s="44">
        <v>264.10000000000002</v>
      </c>
      <c r="F181" s="44">
        <v>0</v>
      </c>
      <c r="G181" s="44">
        <v>0</v>
      </c>
      <c r="H181" s="44">
        <f t="shared" ref="H181:H219" si="72">SUM(I181:K181)</f>
        <v>1468.2</v>
      </c>
      <c r="I181" s="44">
        <v>1204.0999999999999</v>
      </c>
      <c r="J181" s="44">
        <v>264.10000000000002</v>
      </c>
      <c r="K181" s="44">
        <v>0</v>
      </c>
      <c r="L181" s="44">
        <v>0</v>
      </c>
      <c r="M181" s="44">
        <f t="shared" si="67"/>
        <v>78.8</v>
      </c>
      <c r="N181" s="44">
        <f t="shared" ref="N181:N221" si="73">C181-H181</f>
        <v>395.5</v>
      </c>
      <c r="O181" s="44">
        <f t="shared" si="68"/>
        <v>75.3</v>
      </c>
      <c r="P181" s="44">
        <f t="shared" ref="P181:P221" si="74">D181-I181</f>
        <v>395.5</v>
      </c>
      <c r="Q181" s="44">
        <f t="shared" si="69"/>
        <v>100</v>
      </c>
      <c r="R181" s="44">
        <f t="shared" ref="R181:R221" si="75">E181-J181</f>
        <v>0</v>
      </c>
      <c r="S181" s="44" t="str">
        <f t="shared" si="70"/>
        <v>-</v>
      </c>
      <c r="T181" s="44">
        <f t="shared" ref="T181:T221" si="76">F181-K181</f>
        <v>0</v>
      </c>
    </row>
    <row r="182" spans="1:20" ht="27" hidden="1" outlineLevel="1" x14ac:dyDescent="0.25">
      <c r="A182" s="32"/>
      <c r="B182" s="46" t="s">
        <v>492</v>
      </c>
      <c r="C182" s="44">
        <f>SUM(D182:F182)</f>
        <v>24.2</v>
      </c>
      <c r="D182" s="71">
        <v>0</v>
      </c>
      <c r="E182" s="71">
        <v>24.2</v>
      </c>
      <c r="F182" s="71">
        <f>SUM(F183:F183)</f>
        <v>0</v>
      </c>
      <c r="G182" s="71">
        <f>SUM(G183:G183)</f>
        <v>0</v>
      </c>
      <c r="H182" s="44">
        <f>SUM(I182:K182)</f>
        <v>0</v>
      </c>
      <c r="I182" s="44">
        <v>0</v>
      </c>
      <c r="J182" s="71">
        <v>0</v>
      </c>
      <c r="K182" s="44">
        <v>0</v>
      </c>
      <c r="L182" s="44">
        <v>0</v>
      </c>
      <c r="M182" s="44">
        <f t="shared" ref="M182:M193" si="77">IFERROR(H182/C182*100,"-")</f>
        <v>0</v>
      </c>
      <c r="N182" s="44">
        <f t="shared" si="73"/>
        <v>24.2</v>
      </c>
      <c r="O182" s="44" t="str">
        <f t="shared" si="68"/>
        <v>-</v>
      </c>
      <c r="P182" s="44">
        <f t="shared" si="74"/>
        <v>0</v>
      </c>
      <c r="Q182" s="44">
        <f t="shared" si="69"/>
        <v>0</v>
      </c>
      <c r="R182" s="44">
        <f t="shared" si="75"/>
        <v>24.2</v>
      </c>
      <c r="S182" s="44" t="str">
        <f t="shared" si="70"/>
        <v>-</v>
      </c>
      <c r="T182" s="44">
        <f t="shared" si="76"/>
        <v>0</v>
      </c>
    </row>
    <row r="183" spans="1:20" ht="40.5" hidden="1" outlineLevel="1" x14ac:dyDescent="0.25">
      <c r="A183" s="35"/>
      <c r="B183" s="46" t="s">
        <v>495</v>
      </c>
      <c r="C183" s="44">
        <f>SUM(D183:F183)</f>
        <v>11798</v>
      </c>
      <c r="D183" s="44">
        <f>SUM(D184:D186)</f>
        <v>11798</v>
      </c>
      <c r="E183" s="44">
        <f>SUM(E184:E186)</f>
        <v>0</v>
      </c>
      <c r="F183" s="44">
        <f>SUM(F184:F186)</f>
        <v>0</v>
      </c>
      <c r="G183" s="44">
        <f>SUM(G184:G186)</f>
        <v>0</v>
      </c>
      <c r="H183" s="44">
        <f t="shared" si="72"/>
        <v>11798</v>
      </c>
      <c r="I183" s="44">
        <f>SUM(I184:I186)</f>
        <v>11798</v>
      </c>
      <c r="J183" s="44">
        <f>SUM(J184:J186)</f>
        <v>0</v>
      </c>
      <c r="K183" s="44">
        <f>SUM(K184:K186)</f>
        <v>0</v>
      </c>
      <c r="L183" s="44">
        <f>SUM(L184:L186)</f>
        <v>0</v>
      </c>
      <c r="M183" s="44">
        <f t="shared" si="77"/>
        <v>100</v>
      </c>
      <c r="N183" s="44">
        <f>C183-H183</f>
        <v>0</v>
      </c>
      <c r="O183" s="44">
        <f t="shared" si="68"/>
        <v>100</v>
      </c>
      <c r="P183" s="44">
        <f t="shared" si="74"/>
        <v>0</v>
      </c>
      <c r="Q183" s="44" t="str">
        <f t="shared" si="69"/>
        <v>-</v>
      </c>
      <c r="R183" s="44">
        <f t="shared" si="75"/>
        <v>0</v>
      </c>
      <c r="S183" s="44" t="str">
        <f t="shared" si="70"/>
        <v>-</v>
      </c>
      <c r="T183" s="44">
        <f t="shared" si="76"/>
        <v>0</v>
      </c>
    </row>
    <row r="184" spans="1:20" ht="27" hidden="1" outlineLevel="2" x14ac:dyDescent="0.25">
      <c r="A184" s="35"/>
      <c r="B184" s="55" t="s">
        <v>282</v>
      </c>
      <c r="C184" s="44">
        <f t="shared" si="71"/>
        <v>500</v>
      </c>
      <c r="D184" s="44">
        <v>500</v>
      </c>
      <c r="E184" s="44">
        <f>SUM(E185:E186)</f>
        <v>0</v>
      </c>
      <c r="F184" s="44">
        <f>SUM(F185:F186)</f>
        <v>0</v>
      </c>
      <c r="G184" s="44">
        <f>SUM(G185:G186)</f>
        <v>0</v>
      </c>
      <c r="H184" s="44">
        <f t="shared" si="72"/>
        <v>500</v>
      </c>
      <c r="I184" s="44">
        <v>500</v>
      </c>
      <c r="J184" s="44">
        <f>SUM(J185:J186)</f>
        <v>0</v>
      </c>
      <c r="K184" s="44">
        <f>SUM(K185:K186)</f>
        <v>0</v>
      </c>
      <c r="L184" s="44">
        <v>0</v>
      </c>
      <c r="M184" s="44">
        <f t="shared" si="77"/>
        <v>100</v>
      </c>
      <c r="N184" s="44">
        <f t="shared" si="73"/>
        <v>0</v>
      </c>
      <c r="O184" s="44">
        <f>IFERROR(I184/D184*100,"-")</f>
        <v>100</v>
      </c>
      <c r="P184" s="44">
        <f t="shared" si="74"/>
        <v>0</v>
      </c>
      <c r="Q184" s="44" t="str">
        <f>IFERROR(J184/E184*100,"-")</f>
        <v>-</v>
      </c>
      <c r="R184" s="44">
        <f t="shared" si="75"/>
        <v>0</v>
      </c>
      <c r="S184" s="44" t="str">
        <f>IFERROR(K184/F184*100,"-")</f>
        <v>-</v>
      </c>
      <c r="T184" s="44">
        <f t="shared" si="76"/>
        <v>0</v>
      </c>
    </row>
    <row r="185" spans="1:20" ht="27" hidden="1" customHeight="1" outlineLevel="2" x14ac:dyDescent="0.25">
      <c r="A185" s="35"/>
      <c r="B185" s="55" t="s">
        <v>493</v>
      </c>
      <c r="C185" s="44">
        <f t="shared" si="71"/>
        <v>11198</v>
      </c>
      <c r="D185" s="44">
        <v>11198</v>
      </c>
      <c r="E185" s="44">
        <v>0</v>
      </c>
      <c r="F185" s="44">
        <v>0</v>
      </c>
      <c r="G185" s="44">
        <v>0</v>
      </c>
      <c r="H185" s="44">
        <f t="shared" si="72"/>
        <v>11198</v>
      </c>
      <c r="I185" s="44">
        <v>11198</v>
      </c>
      <c r="J185" s="44">
        <v>0</v>
      </c>
      <c r="K185" s="44">
        <v>0</v>
      </c>
      <c r="L185" s="44">
        <v>0</v>
      </c>
      <c r="M185" s="44">
        <f t="shared" si="77"/>
        <v>100</v>
      </c>
      <c r="N185" s="44">
        <f t="shared" si="73"/>
        <v>0</v>
      </c>
      <c r="O185" s="44">
        <f t="shared" si="68"/>
        <v>100</v>
      </c>
      <c r="P185" s="44">
        <f t="shared" si="74"/>
        <v>0</v>
      </c>
      <c r="Q185" s="44" t="str">
        <f t="shared" si="69"/>
        <v>-</v>
      </c>
      <c r="R185" s="44">
        <f t="shared" si="75"/>
        <v>0</v>
      </c>
      <c r="S185" s="44" t="str">
        <f t="shared" si="70"/>
        <v>-</v>
      </c>
      <c r="T185" s="44">
        <f t="shared" si="76"/>
        <v>0</v>
      </c>
    </row>
    <row r="186" spans="1:20" ht="27" hidden="1" customHeight="1" outlineLevel="2" x14ac:dyDescent="0.25">
      <c r="A186" s="35"/>
      <c r="B186" s="55" t="s">
        <v>494</v>
      </c>
      <c r="C186" s="44">
        <f t="shared" si="71"/>
        <v>100</v>
      </c>
      <c r="D186" s="44">
        <v>100</v>
      </c>
      <c r="E186" s="44">
        <v>0</v>
      </c>
      <c r="F186" s="44">
        <v>0</v>
      </c>
      <c r="G186" s="44">
        <v>0</v>
      </c>
      <c r="H186" s="44">
        <f t="shared" si="72"/>
        <v>100</v>
      </c>
      <c r="I186" s="44">
        <v>100</v>
      </c>
      <c r="J186" s="44">
        <v>0</v>
      </c>
      <c r="K186" s="44">
        <v>0</v>
      </c>
      <c r="L186" s="44">
        <v>0</v>
      </c>
      <c r="M186" s="44">
        <f t="shared" si="77"/>
        <v>100</v>
      </c>
      <c r="N186" s="44">
        <f t="shared" si="73"/>
        <v>0</v>
      </c>
      <c r="O186" s="44">
        <f t="shared" si="68"/>
        <v>100</v>
      </c>
      <c r="P186" s="44">
        <f t="shared" si="74"/>
        <v>0</v>
      </c>
      <c r="Q186" s="44" t="str">
        <f t="shared" si="69"/>
        <v>-</v>
      </c>
      <c r="R186" s="44">
        <f t="shared" si="75"/>
        <v>0</v>
      </c>
      <c r="S186" s="44" t="str">
        <f t="shared" si="70"/>
        <v>-</v>
      </c>
      <c r="T186" s="44">
        <f t="shared" si="76"/>
        <v>0</v>
      </c>
    </row>
    <row r="187" spans="1:20" s="57" customFormat="1" ht="27" hidden="1" customHeight="1" outlineLevel="1" x14ac:dyDescent="0.25">
      <c r="A187" s="49"/>
      <c r="B187" s="46" t="s">
        <v>496</v>
      </c>
      <c r="C187" s="44">
        <f t="shared" si="71"/>
        <v>103.7</v>
      </c>
      <c r="D187" s="44">
        <v>0</v>
      </c>
      <c r="E187" s="44">
        <v>103.7</v>
      </c>
      <c r="F187" s="44">
        <v>0</v>
      </c>
      <c r="G187" s="44">
        <v>0</v>
      </c>
      <c r="H187" s="44">
        <f t="shared" si="72"/>
        <v>103.7</v>
      </c>
      <c r="I187" s="44">
        <v>0</v>
      </c>
      <c r="J187" s="44">
        <v>103.7</v>
      </c>
      <c r="K187" s="44">
        <v>0</v>
      </c>
      <c r="L187" s="44">
        <v>0</v>
      </c>
      <c r="M187" s="44">
        <f t="shared" si="77"/>
        <v>100</v>
      </c>
      <c r="N187" s="44">
        <f t="shared" si="73"/>
        <v>0</v>
      </c>
      <c r="O187" s="44" t="str">
        <f t="shared" si="68"/>
        <v>-</v>
      </c>
      <c r="P187" s="44">
        <f t="shared" si="74"/>
        <v>0</v>
      </c>
      <c r="Q187" s="44">
        <f t="shared" si="69"/>
        <v>100</v>
      </c>
      <c r="R187" s="44">
        <f t="shared" si="75"/>
        <v>0</v>
      </c>
      <c r="S187" s="44" t="str">
        <f t="shared" si="70"/>
        <v>-</v>
      </c>
      <c r="T187" s="44">
        <f t="shared" si="76"/>
        <v>0</v>
      </c>
    </row>
    <row r="188" spans="1:20" s="23" customFormat="1" ht="54" collapsed="1" x14ac:dyDescent="0.25">
      <c r="A188" s="48">
        <v>10</v>
      </c>
      <c r="B188" s="41" t="s">
        <v>67</v>
      </c>
      <c r="C188" s="42">
        <f>SUM(D188:F188)</f>
        <v>4260.8</v>
      </c>
      <c r="D188" s="42">
        <f>D189+D190+D191</f>
        <v>600</v>
      </c>
      <c r="E188" s="42">
        <f>E189+E190+E191</f>
        <v>3660.8</v>
      </c>
      <c r="F188" s="42">
        <f>F189+F190</f>
        <v>0</v>
      </c>
      <c r="G188" s="42">
        <f>SUM(G189:G190)</f>
        <v>0</v>
      </c>
      <c r="H188" s="42">
        <f>SUM(I188:K188)</f>
        <v>4260.7</v>
      </c>
      <c r="I188" s="42">
        <f>I189+I190+I191</f>
        <v>600</v>
      </c>
      <c r="J188" s="42">
        <f>J189+J190+J191</f>
        <v>3660.7</v>
      </c>
      <c r="K188" s="42">
        <f>K189+K190</f>
        <v>0</v>
      </c>
      <c r="L188" s="42">
        <f>L189+L190</f>
        <v>0</v>
      </c>
      <c r="M188" s="42">
        <f t="shared" si="77"/>
        <v>100</v>
      </c>
      <c r="N188" s="42">
        <f t="shared" si="73"/>
        <v>0.1</v>
      </c>
      <c r="O188" s="42">
        <f t="shared" si="68"/>
        <v>100</v>
      </c>
      <c r="P188" s="42">
        <f t="shared" si="74"/>
        <v>0</v>
      </c>
      <c r="Q188" s="42">
        <f t="shared" si="69"/>
        <v>100</v>
      </c>
      <c r="R188" s="42">
        <f t="shared" si="75"/>
        <v>0.1</v>
      </c>
      <c r="S188" s="42" t="str">
        <f t="shared" si="70"/>
        <v>-</v>
      </c>
      <c r="T188" s="42">
        <f t="shared" si="76"/>
        <v>0</v>
      </c>
    </row>
    <row r="189" spans="1:20" ht="67.5" hidden="1" outlineLevel="1" x14ac:dyDescent="0.25">
      <c r="A189" s="49"/>
      <c r="B189" s="39" t="s">
        <v>471</v>
      </c>
      <c r="C189" s="44">
        <f t="shared" si="71"/>
        <v>3660.8</v>
      </c>
      <c r="D189" s="44">
        <v>0</v>
      </c>
      <c r="E189" s="44">
        <v>3660.8</v>
      </c>
      <c r="F189" s="44">
        <v>0</v>
      </c>
      <c r="G189" s="44">
        <v>0</v>
      </c>
      <c r="H189" s="44">
        <f>SUM(I189:K189)</f>
        <v>3660.7</v>
      </c>
      <c r="I189" s="44">
        <v>0</v>
      </c>
      <c r="J189" s="44">
        <v>3660.7</v>
      </c>
      <c r="K189" s="44">
        <v>0</v>
      </c>
      <c r="L189" s="44">
        <v>0</v>
      </c>
      <c r="M189" s="44">
        <f t="shared" si="77"/>
        <v>100</v>
      </c>
      <c r="N189" s="44">
        <f t="shared" si="73"/>
        <v>0.1</v>
      </c>
      <c r="O189" s="44" t="str">
        <f t="shared" si="68"/>
        <v>-</v>
      </c>
      <c r="P189" s="44">
        <f t="shared" si="74"/>
        <v>0</v>
      </c>
      <c r="Q189" s="44">
        <f t="shared" si="69"/>
        <v>100</v>
      </c>
      <c r="R189" s="44">
        <f t="shared" si="75"/>
        <v>0.1</v>
      </c>
      <c r="S189" s="44" t="str">
        <f t="shared" si="70"/>
        <v>-</v>
      </c>
      <c r="T189" s="44">
        <f t="shared" si="76"/>
        <v>0</v>
      </c>
    </row>
    <row r="190" spans="1:20" ht="40.5" hidden="1" customHeight="1" outlineLevel="1" x14ac:dyDescent="0.25">
      <c r="A190" s="6"/>
      <c r="B190" s="39" t="s">
        <v>472</v>
      </c>
      <c r="C190" s="44">
        <f>SUM(D190:F190)</f>
        <v>100</v>
      </c>
      <c r="D190" s="44">
        <v>100</v>
      </c>
      <c r="E190" s="44">
        <v>0</v>
      </c>
      <c r="F190" s="44">
        <v>0</v>
      </c>
      <c r="G190" s="44">
        <v>0</v>
      </c>
      <c r="H190" s="44">
        <f t="shared" si="72"/>
        <v>100</v>
      </c>
      <c r="I190" s="44">
        <v>100</v>
      </c>
      <c r="J190" s="44">
        <v>0</v>
      </c>
      <c r="K190" s="44">
        <v>0</v>
      </c>
      <c r="L190" s="44">
        <v>0</v>
      </c>
      <c r="M190" s="44">
        <f>IFERROR(H190/C190*100,"-")</f>
        <v>100</v>
      </c>
      <c r="N190" s="44">
        <f>C190-H190</f>
        <v>0</v>
      </c>
      <c r="O190" s="44">
        <f>IFERROR(I190/D190*100,"-")</f>
        <v>100</v>
      </c>
      <c r="P190" s="44">
        <f>D190-I190</f>
        <v>0</v>
      </c>
      <c r="Q190" s="44" t="str">
        <f t="shared" si="69"/>
        <v>-</v>
      </c>
      <c r="R190" s="44">
        <f t="shared" si="75"/>
        <v>0</v>
      </c>
      <c r="S190" s="44" t="str">
        <f t="shared" si="70"/>
        <v>-</v>
      </c>
      <c r="T190" s="44">
        <f t="shared" si="76"/>
        <v>0</v>
      </c>
    </row>
    <row r="191" spans="1:20" ht="54" hidden="1" customHeight="1" outlineLevel="1" x14ac:dyDescent="0.25">
      <c r="A191" s="6"/>
      <c r="B191" s="39" t="s">
        <v>473</v>
      </c>
      <c r="C191" s="44">
        <f>SUM(D191:F191)</f>
        <v>500</v>
      </c>
      <c r="D191" s="44">
        <v>500</v>
      </c>
      <c r="E191" s="44">
        <v>0</v>
      </c>
      <c r="F191" s="44">
        <v>0</v>
      </c>
      <c r="G191" s="44">
        <v>0</v>
      </c>
      <c r="H191" s="44">
        <f t="shared" si="72"/>
        <v>500</v>
      </c>
      <c r="I191" s="44">
        <v>500</v>
      </c>
      <c r="J191" s="44">
        <v>0</v>
      </c>
      <c r="K191" s="44">
        <v>0</v>
      </c>
      <c r="L191" s="44">
        <v>0</v>
      </c>
      <c r="M191" s="44">
        <f>IFERROR(H191/C191*100,"-")</f>
        <v>100</v>
      </c>
      <c r="N191" s="44">
        <f>C191-H191</f>
        <v>0</v>
      </c>
      <c r="O191" s="44">
        <f>IFERROR(I191/D191*100,"-")</f>
        <v>100</v>
      </c>
      <c r="P191" s="44">
        <f>D191-I191</f>
        <v>0</v>
      </c>
      <c r="Q191" s="44" t="str">
        <f t="shared" si="69"/>
        <v>-</v>
      </c>
      <c r="R191" s="44">
        <f t="shared" si="75"/>
        <v>0</v>
      </c>
      <c r="S191" s="44" t="str">
        <f t="shared" si="70"/>
        <v>-</v>
      </c>
      <c r="T191" s="44">
        <f t="shared" si="76"/>
        <v>0</v>
      </c>
    </row>
    <row r="192" spans="1:20" s="23" customFormat="1" ht="45.75" customHeight="1" collapsed="1" x14ac:dyDescent="0.25">
      <c r="A192" s="48">
        <v>11</v>
      </c>
      <c r="B192" s="41" t="s">
        <v>116</v>
      </c>
      <c r="C192" s="42">
        <f t="shared" si="71"/>
        <v>277855.2</v>
      </c>
      <c r="D192" s="42">
        <f>D193+D201+D205</f>
        <v>61497.2</v>
      </c>
      <c r="E192" s="42">
        <f>E193+E201+E205</f>
        <v>216358</v>
      </c>
      <c r="F192" s="42">
        <f>F193+F201+F205</f>
        <v>0</v>
      </c>
      <c r="G192" s="42">
        <f>G193+G201+G205</f>
        <v>0</v>
      </c>
      <c r="H192" s="42">
        <f t="shared" si="72"/>
        <v>275891.40000000002</v>
      </c>
      <c r="I192" s="42">
        <f>I193+I201+I205</f>
        <v>60095.8</v>
      </c>
      <c r="J192" s="42">
        <f>J193+J201+J205</f>
        <v>215795.6</v>
      </c>
      <c r="K192" s="42">
        <f>K193+K201+K205</f>
        <v>0</v>
      </c>
      <c r="L192" s="42">
        <f>L193+L201+L205</f>
        <v>0</v>
      </c>
      <c r="M192" s="42">
        <f t="shared" si="77"/>
        <v>99.3</v>
      </c>
      <c r="N192" s="42">
        <f t="shared" si="73"/>
        <v>1963.8</v>
      </c>
      <c r="O192" s="42">
        <f t="shared" si="68"/>
        <v>97.7</v>
      </c>
      <c r="P192" s="42">
        <f t="shared" si="74"/>
        <v>1401.4</v>
      </c>
      <c r="Q192" s="42">
        <f t="shared" si="69"/>
        <v>99.7</v>
      </c>
      <c r="R192" s="42">
        <f t="shared" si="75"/>
        <v>562.4</v>
      </c>
      <c r="S192" s="42" t="str">
        <f t="shared" si="70"/>
        <v>-</v>
      </c>
      <c r="T192" s="42">
        <f t="shared" si="76"/>
        <v>0</v>
      </c>
    </row>
    <row r="193" spans="1:20" s="22" customFormat="1" ht="27" hidden="1" outlineLevel="1" x14ac:dyDescent="0.25">
      <c r="A193" s="26"/>
      <c r="B193" s="122" t="s">
        <v>299</v>
      </c>
      <c r="C193" s="54">
        <f>SUM(D193:F193)</f>
        <v>267452.90000000002</v>
      </c>
      <c r="D193" s="54">
        <f>D194+D198</f>
        <v>60054.1</v>
      </c>
      <c r="E193" s="54">
        <f>E194+E198</f>
        <v>207398.8</v>
      </c>
      <c r="F193" s="54">
        <f>F194+F198</f>
        <v>0</v>
      </c>
      <c r="G193" s="54">
        <f>SUM(G194:G200)</f>
        <v>0</v>
      </c>
      <c r="H193" s="59">
        <f t="shared" si="72"/>
        <v>265624.90000000002</v>
      </c>
      <c r="I193" s="54">
        <f>I194+I198</f>
        <v>58788.5</v>
      </c>
      <c r="J193" s="54">
        <f>J194+J198</f>
        <v>206836.4</v>
      </c>
      <c r="K193" s="54">
        <f>K194+K198</f>
        <v>0</v>
      </c>
      <c r="L193" s="59">
        <f>SUM(L194:L200)</f>
        <v>0</v>
      </c>
      <c r="M193" s="59">
        <f t="shared" si="77"/>
        <v>99.3</v>
      </c>
      <c r="N193" s="59">
        <f t="shared" si="73"/>
        <v>1828</v>
      </c>
      <c r="O193" s="59">
        <f t="shared" si="68"/>
        <v>97.9</v>
      </c>
      <c r="P193" s="59">
        <f t="shared" si="74"/>
        <v>1265.5999999999999</v>
      </c>
      <c r="Q193" s="59">
        <f t="shared" si="69"/>
        <v>99.7</v>
      </c>
      <c r="R193" s="59">
        <f t="shared" si="75"/>
        <v>562.4</v>
      </c>
      <c r="S193" s="59" t="str">
        <f t="shared" si="70"/>
        <v>-</v>
      </c>
      <c r="T193" s="59">
        <f t="shared" si="76"/>
        <v>0</v>
      </c>
    </row>
    <row r="194" spans="1:20" ht="27" hidden="1" customHeight="1" outlineLevel="2" x14ac:dyDescent="0.25">
      <c r="A194" s="26"/>
      <c r="B194" s="159" t="s">
        <v>636</v>
      </c>
      <c r="C194" s="44">
        <f>SUM(D194:F194)</f>
        <v>249482.7</v>
      </c>
      <c r="D194" s="44">
        <f>D195+D196+D197</f>
        <v>42083.9</v>
      </c>
      <c r="E194" s="44">
        <f>E195+E196+E197</f>
        <v>207398.8</v>
      </c>
      <c r="F194" s="44">
        <f>F195+F196+F197</f>
        <v>0</v>
      </c>
      <c r="G194" s="44">
        <f>G195+G196+G197</f>
        <v>0</v>
      </c>
      <c r="H194" s="44">
        <f t="shared" si="72"/>
        <v>247702.5</v>
      </c>
      <c r="I194" s="44">
        <f>I195+I196+I197</f>
        <v>40866.1</v>
      </c>
      <c r="J194" s="44">
        <f>J195+J196+J197</f>
        <v>206836.4</v>
      </c>
      <c r="K194" s="44">
        <f>K195+K196+K197</f>
        <v>0</v>
      </c>
      <c r="L194" s="44">
        <f>L195+L196+L197</f>
        <v>0</v>
      </c>
      <c r="M194" s="44">
        <f>IFERROR(H194/C194*100,"-")</f>
        <v>99.3</v>
      </c>
      <c r="N194" s="44">
        <f t="shared" si="73"/>
        <v>1780.2</v>
      </c>
      <c r="O194" s="44">
        <f>IFERROR(I194/D194*100,"-")</f>
        <v>97.1</v>
      </c>
      <c r="P194" s="44">
        <f t="shared" si="74"/>
        <v>1217.8</v>
      </c>
      <c r="Q194" s="44">
        <f>IFERROR(J194/E194*100,"-")</f>
        <v>99.7</v>
      </c>
      <c r="R194" s="44">
        <f t="shared" si="75"/>
        <v>562.4</v>
      </c>
      <c r="S194" s="44"/>
      <c r="T194" s="44">
        <f t="shared" si="76"/>
        <v>0</v>
      </c>
    </row>
    <row r="195" spans="1:20" ht="13.5" hidden="1" customHeight="1" outlineLevel="3" x14ac:dyDescent="0.25">
      <c r="A195" s="30"/>
      <c r="B195" s="166" t="s">
        <v>300</v>
      </c>
      <c r="C195" s="44">
        <f>SUM(D195:F195)</f>
        <v>5980.3</v>
      </c>
      <c r="D195" s="44">
        <v>5980.3</v>
      </c>
      <c r="E195" s="44"/>
      <c r="F195" s="44">
        <v>0</v>
      </c>
      <c r="G195" s="44">
        <v>0</v>
      </c>
      <c r="H195" s="44">
        <f>SUM(I195:K195)</f>
        <v>4832</v>
      </c>
      <c r="I195" s="44">
        <v>4832</v>
      </c>
      <c r="J195" s="44">
        <v>0</v>
      </c>
      <c r="K195" s="44">
        <v>0</v>
      </c>
      <c r="L195" s="44">
        <v>0</v>
      </c>
      <c r="M195" s="44">
        <f>IFERROR(H195/C195*100,"-")</f>
        <v>80.8</v>
      </c>
      <c r="N195" s="44">
        <f>C195-H195</f>
        <v>1148.3</v>
      </c>
      <c r="O195" s="44">
        <f>IFERROR(I195/D195*100,"-")</f>
        <v>80.8</v>
      </c>
      <c r="P195" s="44">
        <f>D195-I195</f>
        <v>1148.3</v>
      </c>
      <c r="Q195" s="44" t="str">
        <f>IFERROR(J195/E195*100,"-")</f>
        <v>-</v>
      </c>
      <c r="R195" s="44">
        <f>E195-J195</f>
        <v>0</v>
      </c>
      <c r="S195" s="44" t="str">
        <f t="shared" ref="S195:S200" si="78">IFERROR(K195/F195*100,"-")</f>
        <v>-</v>
      </c>
      <c r="T195" s="44">
        <f>F195-K195</f>
        <v>0</v>
      </c>
    </row>
    <row r="196" spans="1:20" ht="13.5" hidden="1" customHeight="1" outlineLevel="3" x14ac:dyDescent="0.25">
      <c r="A196" s="30"/>
      <c r="B196" s="166" t="s">
        <v>436</v>
      </c>
      <c r="C196" s="44">
        <f t="shared" si="71"/>
        <v>233032.4</v>
      </c>
      <c r="D196" s="44">
        <v>25633.599999999999</v>
      </c>
      <c r="E196" s="44">
        <v>207398.8</v>
      </c>
      <c r="F196" s="44">
        <v>0</v>
      </c>
      <c r="G196" s="44">
        <v>0</v>
      </c>
      <c r="H196" s="44">
        <f t="shared" si="72"/>
        <v>232400.5</v>
      </c>
      <c r="I196" s="44">
        <v>25564.1</v>
      </c>
      <c r="J196" s="44">
        <v>206836.4</v>
      </c>
      <c r="K196" s="44">
        <v>0</v>
      </c>
      <c r="L196" s="44">
        <v>0</v>
      </c>
      <c r="M196" s="44">
        <f t="shared" ref="M196:M257" si="79">IFERROR(H196/C196*100,"-")</f>
        <v>99.7</v>
      </c>
      <c r="N196" s="44">
        <f t="shared" si="73"/>
        <v>631.9</v>
      </c>
      <c r="O196" s="44">
        <f t="shared" ref="O196:O257" si="80">IFERROR(I196/D196*100,"-")</f>
        <v>99.7</v>
      </c>
      <c r="P196" s="44">
        <f t="shared" si="74"/>
        <v>69.5</v>
      </c>
      <c r="Q196" s="44">
        <f t="shared" ref="Q196:Q257" si="81">IFERROR(J196/E196*100,"-")</f>
        <v>99.7</v>
      </c>
      <c r="R196" s="44">
        <f t="shared" si="75"/>
        <v>562.4</v>
      </c>
      <c r="S196" s="44" t="str">
        <f t="shared" si="78"/>
        <v>-</v>
      </c>
      <c r="T196" s="44">
        <f t="shared" si="76"/>
        <v>0</v>
      </c>
    </row>
    <row r="197" spans="1:20" ht="108" hidden="1" customHeight="1" outlineLevel="3" x14ac:dyDescent="0.25">
      <c r="A197" s="30"/>
      <c r="B197" s="166" t="s">
        <v>634</v>
      </c>
      <c r="C197" s="44">
        <f t="shared" si="71"/>
        <v>10470</v>
      </c>
      <c r="D197" s="44">
        <v>10470</v>
      </c>
      <c r="E197" s="44">
        <v>0</v>
      </c>
      <c r="F197" s="44">
        <v>0</v>
      </c>
      <c r="G197" s="44">
        <v>0</v>
      </c>
      <c r="H197" s="44">
        <f t="shared" si="72"/>
        <v>10470</v>
      </c>
      <c r="I197" s="44">
        <v>10470</v>
      </c>
      <c r="J197" s="44">
        <v>0</v>
      </c>
      <c r="K197" s="44">
        <v>0</v>
      </c>
      <c r="L197" s="44">
        <v>0</v>
      </c>
      <c r="M197" s="44">
        <f t="shared" si="79"/>
        <v>100</v>
      </c>
      <c r="N197" s="44">
        <f t="shared" si="73"/>
        <v>0</v>
      </c>
      <c r="O197" s="44">
        <f t="shared" si="80"/>
        <v>100</v>
      </c>
      <c r="P197" s="44">
        <f t="shared" si="74"/>
        <v>0</v>
      </c>
      <c r="Q197" s="44" t="str">
        <f t="shared" si="81"/>
        <v>-</v>
      </c>
      <c r="R197" s="44">
        <f t="shared" si="75"/>
        <v>0</v>
      </c>
      <c r="S197" s="44" t="str">
        <f t="shared" si="78"/>
        <v>-</v>
      </c>
      <c r="T197" s="44">
        <f t="shared" si="76"/>
        <v>0</v>
      </c>
    </row>
    <row r="198" spans="1:20" ht="54" hidden="1" outlineLevel="2" x14ac:dyDescent="0.25">
      <c r="A198" s="30"/>
      <c r="B198" s="159" t="s">
        <v>635</v>
      </c>
      <c r="C198" s="44">
        <f>SUM(D198:F198)</f>
        <v>17970.2</v>
      </c>
      <c r="D198" s="44">
        <f>SUM(D199:D200)</f>
        <v>17970.2</v>
      </c>
      <c r="E198" s="44">
        <f>SUM(E199:E200)</f>
        <v>0</v>
      </c>
      <c r="F198" s="44">
        <f>SUM(F199:F200)</f>
        <v>0</v>
      </c>
      <c r="G198" s="44">
        <v>0</v>
      </c>
      <c r="H198" s="44">
        <f t="shared" si="72"/>
        <v>17922.400000000001</v>
      </c>
      <c r="I198" s="44">
        <f>SUM(I199:I200)</f>
        <v>17922.400000000001</v>
      </c>
      <c r="J198" s="44">
        <f>SUM(J199:J200)</f>
        <v>0</v>
      </c>
      <c r="K198" s="44">
        <f>SUM(K199:K200)</f>
        <v>0</v>
      </c>
      <c r="L198" s="44">
        <v>0</v>
      </c>
      <c r="M198" s="44">
        <f>IFERROR(H198/C198*100,"-")</f>
        <v>99.7</v>
      </c>
      <c r="N198" s="44">
        <f>C198-H198</f>
        <v>47.8</v>
      </c>
      <c r="O198" s="44">
        <f>IFERROR(I198/D198*100,"-")</f>
        <v>99.7</v>
      </c>
      <c r="P198" s="44">
        <f>D198-I198</f>
        <v>47.8</v>
      </c>
      <c r="Q198" s="44" t="str">
        <f>IFERROR(J198/E198*100,"-")</f>
        <v>-</v>
      </c>
      <c r="R198" s="44">
        <f>E198-J198</f>
        <v>0</v>
      </c>
      <c r="S198" s="44" t="str">
        <f t="shared" si="78"/>
        <v>-</v>
      </c>
      <c r="T198" s="44">
        <f>F198-K198</f>
        <v>0</v>
      </c>
    </row>
    <row r="199" spans="1:20" ht="27" hidden="1" customHeight="1" outlineLevel="3" x14ac:dyDescent="0.25">
      <c r="A199" s="30"/>
      <c r="B199" s="166" t="s">
        <v>34</v>
      </c>
      <c r="C199" s="44">
        <f t="shared" si="71"/>
        <v>424</v>
      </c>
      <c r="D199" s="44">
        <v>424</v>
      </c>
      <c r="E199" s="44">
        <v>0</v>
      </c>
      <c r="F199" s="44">
        <v>0</v>
      </c>
      <c r="G199" s="44">
        <v>0</v>
      </c>
      <c r="H199" s="44">
        <f t="shared" si="72"/>
        <v>424</v>
      </c>
      <c r="I199" s="44">
        <v>424</v>
      </c>
      <c r="J199" s="44">
        <v>0</v>
      </c>
      <c r="K199" s="44">
        <v>0</v>
      </c>
      <c r="L199" s="44">
        <v>0</v>
      </c>
      <c r="M199" s="44">
        <f>IFERROR(H199/C199*100,"-")</f>
        <v>100</v>
      </c>
      <c r="N199" s="44">
        <v>0</v>
      </c>
      <c r="O199" s="44">
        <f>IFERROR(I199/D199*100,"-")</f>
        <v>100</v>
      </c>
      <c r="P199" s="44">
        <f>D199-I199</f>
        <v>0</v>
      </c>
      <c r="Q199" s="44" t="str">
        <f>IFERROR(J199/E199*100,"-")</f>
        <v>-</v>
      </c>
      <c r="R199" s="44">
        <f>E199-J199</f>
        <v>0</v>
      </c>
      <c r="S199" s="44" t="str">
        <f t="shared" si="78"/>
        <v>-</v>
      </c>
      <c r="T199" s="44">
        <f>F199-K199</f>
        <v>0</v>
      </c>
    </row>
    <row r="200" spans="1:20" ht="27" hidden="1" outlineLevel="3" x14ac:dyDescent="0.25">
      <c r="A200" s="30"/>
      <c r="B200" s="166" t="s">
        <v>389</v>
      </c>
      <c r="C200" s="44">
        <f t="shared" si="71"/>
        <v>17546.2</v>
      </c>
      <c r="D200" s="44">
        <v>17546.2</v>
      </c>
      <c r="E200" s="44">
        <v>0</v>
      </c>
      <c r="F200" s="44">
        <v>0</v>
      </c>
      <c r="G200" s="44">
        <v>0</v>
      </c>
      <c r="H200" s="44">
        <f t="shared" si="72"/>
        <v>17498.400000000001</v>
      </c>
      <c r="I200" s="44">
        <v>17498.400000000001</v>
      </c>
      <c r="J200" s="44">
        <v>0</v>
      </c>
      <c r="K200" s="44">
        <v>0</v>
      </c>
      <c r="L200" s="44">
        <v>0</v>
      </c>
      <c r="M200" s="44">
        <f>IFERROR(H200/C200*100,"-")</f>
        <v>99.7</v>
      </c>
      <c r="N200" s="44">
        <v>0</v>
      </c>
      <c r="O200" s="44">
        <f>IFERROR(I200/D200*100,"-")</f>
        <v>99.7</v>
      </c>
      <c r="P200" s="44">
        <f>D200-I200</f>
        <v>47.8</v>
      </c>
      <c r="Q200" s="44" t="str">
        <f>IFERROR(J200/E200*100,"-")</f>
        <v>-</v>
      </c>
      <c r="R200" s="44">
        <v>0</v>
      </c>
      <c r="S200" s="44" t="str">
        <f t="shared" si="78"/>
        <v>-</v>
      </c>
      <c r="T200" s="44">
        <f>F200-K200</f>
        <v>0</v>
      </c>
    </row>
    <row r="201" spans="1:20" ht="27" hidden="1" outlineLevel="1" x14ac:dyDescent="0.25">
      <c r="A201" s="6"/>
      <c r="B201" s="122" t="s">
        <v>301</v>
      </c>
      <c r="C201" s="59">
        <f t="shared" si="71"/>
        <v>10266.5</v>
      </c>
      <c r="D201" s="59">
        <f>D202</f>
        <v>1307.3</v>
      </c>
      <c r="E201" s="59">
        <f t="shared" ref="E201:K201" si="82">E202</f>
        <v>8959.2000000000007</v>
      </c>
      <c r="F201" s="59">
        <f t="shared" si="82"/>
        <v>0</v>
      </c>
      <c r="G201" s="59">
        <f t="shared" si="82"/>
        <v>0</v>
      </c>
      <c r="H201" s="59">
        <f t="shared" si="72"/>
        <v>10266.5</v>
      </c>
      <c r="I201" s="59">
        <f t="shared" si="82"/>
        <v>1307.3</v>
      </c>
      <c r="J201" s="59">
        <f t="shared" si="82"/>
        <v>8959.2000000000007</v>
      </c>
      <c r="K201" s="59">
        <f t="shared" si="82"/>
        <v>0</v>
      </c>
      <c r="L201" s="59">
        <f>SUM(L202:L202)</f>
        <v>0</v>
      </c>
      <c r="M201" s="59">
        <f t="shared" si="79"/>
        <v>100</v>
      </c>
      <c r="N201" s="59">
        <f t="shared" si="73"/>
        <v>0</v>
      </c>
      <c r="O201" s="59">
        <f t="shared" si="80"/>
        <v>100</v>
      </c>
      <c r="P201" s="59">
        <f t="shared" si="74"/>
        <v>0</v>
      </c>
      <c r="Q201" s="59">
        <f t="shared" si="81"/>
        <v>100</v>
      </c>
      <c r="R201" s="59">
        <f t="shared" si="75"/>
        <v>0</v>
      </c>
      <c r="S201" s="59" t="str">
        <f t="shared" ref="S201:S211" si="83">IFERROR(K201/F201*100,"-")</f>
        <v>-</v>
      </c>
      <c r="T201" s="59">
        <f t="shared" si="76"/>
        <v>0</v>
      </c>
    </row>
    <row r="202" spans="1:20" ht="27" hidden="1" customHeight="1" outlineLevel="2" x14ac:dyDescent="0.25">
      <c r="A202" s="70"/>
      <c r="B202" s="159" t="s">
        <v>638</v>
      </c>
      <c r="C202" s="44">
        <f>SUM(D202:F202)</f>
        <v>10266.5</v>
      </c>
      <c r="D202" s="44">
        <f>D203+D204</f>
        <v>1307.3</v>
      </c>
      <c r="E202" s="44">
        <f>E203+E204</f>
        <v>8959.2000000000007</v>
      </c>
      <c r="F202" s="44">
        <f>F203+F204</f>
        <v>0</v>
      </c>
      <c r="G202" s="44">
        <f>G203+G204</f>
        <v>0</v>
      </c>
      <c r="H202" s="44">
        <f t="shared" si="72"/>
        <v>10266.5</v>
      </c>
      <c r="I202" s="44">
        <f>I203+I204</f>
        <v>1307.3</v>
      </c>
      <c r="J202" s="44">
        <f>J203+J204</f>
        <v>8959.2000000000007</v>
      </c>
      <c r="K202" s="44">
        <f>K203+K204</f>
        <v>0</v>
      </c>
      <c r="L202" s="44">
        <f>L203+L204</f>
        <v>0</v>
      </c>
      <c r="M202" s="44">
        <f>IFERROR(H202/C202*100,"-")</f>
        <v>100</v>
      </c>
      <c r="N202" s="44">
        <f>C202-H202</f>
        <v>0</v>
      </c>
      <c r="O202" s="44">
        <f t="shared" ref="O202:O207" si="84">IFERROR(I202/D202*100,"-")</f>
        <v>100</v>
      </c>
      <c r="P202" s="44">
        <f>D202-I202</f>
        <v>0</v>
      </c>
      <c r="Q202" s="44">
        <f>IFERROR(J202/E202*100,"-")</f>
        <v>100</v>
      </c>
      <c r="R202" s="44">
        <f>E202-J202</f>
        <v>0</v>
      </c>
      <c r="S202" s="44" t="str">
        <f t="shared" si="83"/>
        <v>-</v>
      </c>
      <c r="T202" s="44">
        <f>F202-K202</f>
        <v>0</v>
      </c>
    </row>
    <row r="203" spans="1:20" ht="13.5" hidden="1" customHeight="1" outlineLevel="3" x14ac:dyDescent="0.25">
      <c r="A203" s="70"/>
      <c r="B203" s="166" t="s">
        <v>302</v>
      </c>
      <c r="C203" s="44">
        <f>SUM(D203:F203)</f>
        <v>10066.5</v>
      </c>
      <c r="D203" s="44">
        <v>1107.3</v>
      </c>
      <c r="E203" s="44">
        <v>8959.2000000000007</v>
      </c>
      <c r="F203" s="44">
        <v>0</v>
      </c>
      <c r="G203" s="44">
        <v>0</v>
      </c>
      <c r="H203" s="44">
        <f>SUM(I203:K203)</f>
        <v>10066.5</v>
      </c>
      <c r="I203" s="44">
        <v>1107.3</v>
      </c>
      <c r="J203" s="44">
        <v>8959.2000000000007</v>
      </c>
      <c r="K203" s="44">
        <v>0</v>
      </c>
      <c r="L203" s="44">
        <v>0</v>
      </c>
      <c r="M203" s="44">
        <f>IFERROR(H203/C203*100,"-")</f>
        <v>100</v>
      </c>
      <c r="N203" s="44">
        <f>C203-H203</f>
        <v>0</v>
      </c>
      <c r="O203" s="44">
        <f t="shared" si="84"/>
        <v>100</v>
      </c>
      <c r="P203" s="44">
        <f>D203-I203</f>
        <v>0</v>
      </c>
      <c r="Q203" s="44">
        <f>IFERROR(J203/E203*100,"-")</f>
        <v>100</v>
      </c>
      <c r="R203" s="44">
        <f>E203-J203</f>
        <v>0</v>
      </c>
      <c r="S203" s="44" t="str">
        <f t="shared" si="83"/>
        <v>-</v>
      </c>
      <c r="T203" s="44">
        <f>F203-K203</f>
        <v>0</v>
      </c>
    </row>
    <row r="204" spans="1:20" ht="13.5" hidden="1" customHeight="1" outlineLevel="3" x14ac:dyDescent="0.25">
      <c r="A204" s="70"/>
      <c r="B204" s="166" t="s">
        <v>637</v>
      </c>
      <c r="C204" s="44">
        <f>SUM(D204:F204)</f>
        <v>200</v>
      </c>
      <c r="D204" s="44">
        <v>200</v>
      </c>
      <c r="E204" s="44">
        <v>0</v>
      </c>
      <c r="F204" s="44">
        <v>0</v>
      </c>
      <c r="G204" s="44">
        <v>0</v>
      </c>
      <c r="H204" s="44">
        <f>SUM(I204:K204)</f>
        <v>200</v>
      </c>
      <c r="I204" s="44">
        <v>200</v>
      </c>
      <c r="J204" s="44">
        <v>0</v>
      </c>
      <c r="K204" s="44">
        <v>0</v>
      </c>
      <c r="L204" s="44">
        <v>0</v>
      </c>
      <c r="M204" s="44">
        <f>IFERROR(H204/C204*100,"-")</f>
        <v>100</v>
      </c>
      <c r="N204" s="44">
        <f>C204-H204</f>
        <v>0</v>
      </c>
      <c r="O204" s="44">
        <f t="shared" si="84"/>
        <v>100</v>
      </c>
      <c r="P204" s="44">
        <f>D204-I204</f>
        <v>0</v>
      </c>
      <c r="Q204" s="44" t="str">
        <f>IFERROR(J204/E204*100,"-")</f>
        <v>-</v>
      </c>
      <c r="R204" s="44">
        <f>E204-J204</f>
        <v>0</v>
      </c>
      <c r="S204" s="44" t="str">
        <f t="shared" si="83"/>
        <v>-</v>
      </c>
      <c r="T204" s="44">
        <f>F204-K204</f>
        <v>0</v>
      </c>
    </row>
    <row r="205" spans="1:20" ht="27" hidden="1" customHeight="1" outlineLevel="1" x14ac:dyDescent="0.25">
      <c r="A205" s="32"/>
      <c r="B205" s="122" t="s">
        <v>36</v>
      </c>
      <c r="C205" s="59">
        <f>SUM(D205:F205)</f>
        <v>135.80000000000001</v>
      </c>
      <c r="D205" s="59">
        <f>SUM(D206:D207)</f>
        <v>135.80000000000001</v>
      </c>
      <c r="E205" s="59">
        <f>SUM(E206:E207)</f>
        <v>0</v>
      </c>
      <c r="F205" s="59">
        <f>SUM(F206:F207)</f>
        <v>0</v>
      </c>
      <c r="G205" s="59">
        <f>SUM(G206:G207)</f>
        <v>0</v>
      </c>
      <c r="H205" s="59">
        <f t="shared" si="72"/>
        <v>0</v>
      </c>
      <c r="I205" s="59">
        <f>SUM(I206:I207)</f>
        <v>0</v>
      </c>
      <c r="J205" s="59">
        <f>SUM(J206:J207)</f>
        <v>0</v>
      </c>
      <c r="K205" s="59">
        <f>SUM(K206:K207)</f>
        <v>0</v>
      </c>
      <c r="L205" s="59">
        <f>SUM(L206:L207)</f>
        <v>0</v>
      </c>
      <c r="M205" s="59">
        <f t="shared" si="79"/>
        <v>0</v>
      </c>
      <c r="N205" s="59">
        <f t="shared" si="73"/>
        <v>135.80000000000001</v>
      </c>
      <c r="O205" s="59">
        <f t="shared" si="84"/>
        <v>0</v>
      </c>
      <c r="P205" s="59">
        <f t="shared" si="74"/>
        <v>135.80000000000001</v>
      </c>
      <c r="Q205" s="59" t="str">
        <f t="shared" si="81"/>
        <v>-</v>
      </c>
      <c r="R205" s="59">
        <f t="shared" si="75"/>
        <v>0</v>
      </c>
      <c r="S205" s="59" t="str">
        <f t="shared" si="83"/>
        <v>-</v>
      </c>
      <c r="T205" s="59">
        <f t="shared" si="76"/>
        <v>0</v>
      </c>
    </row>
    <row r="206" spans="1:20" ht="40.5" hidden="1" outlineLevel="2" x14ac:dyDescent="0.25">
      <c r="A206" s="32"/>
      <c r="B206" s="159" t="s">
        <v>639</v>
      </c>
      <c r="C206" s="44">
        <f t="shared" si="71"/>
        <v>0</v>
      </c>
      <c r="D206" s="44">
        <v>0</v>
      </c>
      <c r="E206" s="44">
        <v>0</v>
      </c>
      <c r="F206" s="44">
        <v>0</v>
      </c>
      <c r="G206" s="44"/>
      <c r="H206" s="44">
        <f t="shared" si="72"/>
        <v>0</v>
      </c>
      <c r="I206" s="44">
        <v>0</v>
      </c>
      <c r="J206" s="44">
        <v>0</v>
      </c>
      <c r="K206" s="44">
        <v>0</v>
      </c>
      <c r="L206" s="44"/>
      <c r="M206" s="44" t="str">
        <f>IFERROR(H206/C206*100,"-")</f>
        <v>-</v>
      </c>
      <c r="N206" s="44">
        <f>C206-H206</f>
        <v>0</v>
      </c>
      <c r="O206" s="44" t="str">
        <f t="shared" si="84"/>
        <v>-</v>
      </c>
      <c r="P206" s="44">
        <f>D206-I206</f>
        <v>0</v>
      </c>
      <c r="Q206" s="44" t="str">
        <f>IFERROR(J206/E206*100,"-")</f>
        <v>-</v>
      </c>
      <c r="R206" s="44">
        <f>E206-J206</f>
        <v>0</v>
      </c>
      <c r="S206" s="44" t="str">
        <f t="shared" si="83"/>
        <v>-</v>
      </c>
      <c r="T206" s="44">
        <f>F206-K206</f>
        <v>0</v>
      </c>
    </row>
    <row r="207" spans="1:20" ht="27" hidden="1" customHeight="1" outlineLevel="2" x14ac:dyDescent="0.25">
      <c r="A207" s="32"/>
      <c r="B207" s="159" t="s">
        <v>640</v>
      </c>
      <c r="C207" s="44">
        <f t="shared" si="71"/>
        <v>135.80000000000001</v>
      </c>
      <c r="D207" s="44">
        <v>135.80000000000001</v>
      </c>
      <c r="E207" s="44"/>
      <c r="F207" s="44"/>
      <c r="G207" s="44"/>
      <c r="H207" s="44">
        <f t="shared" si="72"/>
        <v>0</v>
      </c>
      <c r="I207" s="44">
        <v>0</v>
      </c>
      <c r="J207" s="44"/>
      <c r="K207" s="44"/>
      <c r="L207" s="44"/>
      <c r="M207" s="44">
        <f>IFERROR(H207/C207*100,"-")</f>
        <v>0</v>
      </c>
      <c r="N207" s="44">
        <f>C207-H207</f>
        <v>135.80000000000001</v>
      </c>
      <c r="O207" s="44">
        <f t="shared" si="84"/>
        <v>0</v>
      </c>
      <c r="P207" s="44">
        <f>D207-I207</f>
        <v>135.80000000000001</v>
      </c>
      <c r="Q207" s="44" t="str">
        <f>IFERROR(J207/E207*100,"-")</f>
        <v>-</v>
      </c>
      <c r="R207" s="44">
        <f>E207-J207</f>
        <v>0</v>
      </c>
      <c r="S207" s="44" t="str">
        <f t="shared" si="83"/>
        <v>-</v>
      </c>
      <c r="T207" s="44">
        <f>F207-K207</f>
        <v>0</v>
      </c>
    </row>
    <row r="208" spans="1:20" s="62" customFormat="1" ht="60.75" customHeight="1" collapsed="1" x14ac:dyDescent="0.25">
      <c r="A208" s="48">
        <v>12</v>
      </c>
      <c r="B208" s="41" t="s">
        <v>41</v>
      </c>
      <c r="C208" s="42">
        <f>SUM(D208:F208)</f>
        <v>243942.39999999999</v>
      </c>
      <c r="D208" s="42">
        <f>D209+D218+D220+D222+D223</f>
        <v>162085.29999999999</v>
      </c>
      <c r="E208" s="42">
        <f>E209+E218+E220+E222+E223</f>
        <v>81857.100000000006</v>
      </c>
      <c r="F208" s="42">
        <f>F209+F218+F220+F222+F223</f>
        <v>0</v>
      </c>
      <c r="G208" s="42">
        <f>G209+G218+G220+G222+G223</f>
        <v>0</v>
      </c>
      <c r="H208" s="42">
        <f t="shared" ref="H208:H214" si="85">SUM(I208:K208)</f>
        <v>235828</v>
      </c>
      <c r="I208" s="42">
        <f>I209+I218+I220+I222+I223</f>
        <v>158258.6</v>
      </c>
      <c r="J208" s="42">
        <f>J209+J218+J220+J222+J223</f>
        <v>77569.399999999994</v>
      </c>
      <c r="K208" s="42">
        <f>K209+K218+K220+K222+K223</f>
        <v>0</v>
      </c>
      <c r="L208" s="42">
        <f>L209+L218+L220+L222+L223</f>
        <v>0</v>
      </c>
      <c r="M208" s="42">
        <f t="shared" si="79"/>
        <v>96.7</v>
      </c>
      <c r="N208" s="42">
        <f t="shared" si="73"/>
        <v>8114.4</v>
      </c>
      <c r="O208" s="42">
        <f t="shared" si="80"/>
        <v>97.6</v>
      </c>
      <c r="P208" s="42">
        <f t="shared" si="74"/>
        <v>3826.7</v>
      </c>
      <c r="Q208" s="42">
        <f t="shared" si="81"/>
        <v>94.8</v>
      </c>
      <c r="R208" s="42">
        <f t="shared" si="75"/>
        <v>4287.7</v>
      </c>
      <c r="S208" s="42" t="str">
        <f t="shared" si="83"/>
        <v>-</v>
      </c>
      <c r="T208" s="42">
        <f t="shared" si="76"/>
        <v>0</v>
      </c>
    </row>
    <row r="209" spans="1:20" s="57" customFormat="1" ht="40.5" hidden="1" outlineLevel="1" x14ac:dyDescent="0.25">
      <c r="A209" s="6"/>
      <c r="B209" s="125" t="s">
        <v>39</v>
      </c>
      <c r="C209" s="54">
        <f>SUM(D209:F209)</f>
        <v>88709.2</v>
      </c>
      <c r="D209" s="54">
        <f>D210+D216+D215+D217</f>
        <v>9352.1</v>
      </c>
      <c r="E209" s="54">
        <f>E210+E216+E215+E217</f>
        <v>79357.100000000006</v>
      </c>
      <c r="F209" s="54">
        <f>F210+F216+F215+F217</f>
        <v>0</v>
      </c>
      <c r="G209" s="54">
        <f>G210+G216+G215+G217</f>
        <v>0</v>
      </c>
      <c r="H209" s="54">
        <f t="shared" si="85"/>
        <v>83915.8</v>
      </c>
      <c r="I209" s="54">
        <f>I210+I216+I215+I217</f>
        <v>8846.4</v>
      </c>
      <c r="J209" s="54">
        <f>J210+J216+J215+J217</f>
        <v>75069.399999999994</v>
      </c>
      <c r="K209" s="54">
        <f>K210+K216+K215+K217</f>
        <v>0</v>
      </c>
      <c r="L209" s="54">
        <f>L210+L216+L215+L217</f>
        <v>0</v>
      </c>
      <c r="M209" s="44">
        <f>IFERROR(H209/C209*100,"-")</f>
        <v>94.6</v>
      </c>
      <c r="N209" s="44">
        <f t="shared" si="73"/>
        <v>4793.3999999999996</v>
      </c>
      <c r="O209" s="44">
        <f t="shared" si="80"/>
        <v>94.6</v>
      </c>
      <c r="P209" s="44">
        <f t="shared" si="74"/>
        <v>505.7</v>
      </c>
      <c r="Q209" s="44">
        <f t="shared" si="81"/>
        <v>94.6</v>
      </c>
      <c r="R209" s="44">
        <f t="shared" si="75"/>
        <v>4287.7</v>
      </c>
      <c r="S209" s="44" t="str">
        <f t="shared" si="83"/>
        <v>-</v>
      </c>
      <c r="T209" s="44">
        <f t="shared" si="76"/>
        <v>0</v>
      </c>
    </row>
    <row r="210" spans="1:20" ht="40.5" hidden="1" customHeight="1" outlineLevel="2" x14ac:dyDescent="0.25">
      <c r="A210" s="93"/>
      <c r="B210" s="46" t="s">
        <v>643</v>
      </c>
      <c r="C210" s="71">
        <f>SUM(D210:F210)</f>
        <v>31673.5</v>
      </c>
      <c r="D210" s="44">
        <f>D211+D212+D213+D214</f>
        <v>5776.4</v>
      </c>
      <c r="E210" s="44">
        <f>E211+E212+E213+E214</f>
        <v>25897.1</v>
      </c>
      <c r="F210" s="44">
        <f>F211+F212+F213+F214</f>
        <v>0</v>
      </c>
      <c r="G210" s="44">
        <f>G211+G212+G213+G214</f>
        <v>0</v>
      </c>
      <c r="H210" s="71">
        <f t="shared" si="85"/>
        <v>27019.200000000001</v>
      </c>
      <c r="I210" s="44">
        <f>I211+I212+I213+I214</f>
        <v>5311</v>
      </c>
      <c r="J210" s="44">
        <f>J211+J212+J213+J214</f>
        <v>21708.2</v>
      </c>
      <c r="K210" s="44">
        <f>K211+K212+K213+K214</f>
        <v>0</v>
      </c>
      <c r="L210" s="44">
        <f>L211+L212+L213+L214</f>
        <v>0</v>
      </c>
      <c r="M210" s="44">
        <f>IFERROR(H210/C210*100,"-")</f>
        <v>85.3</v>
      </c>
      <c r="N210" s="44">
        <f>C210-H210</f>
        <v>4654.3</v>
      </c>
      <c r="O210" s="44">
        <f t="shared" ref="O210:O215" si="86">IFERROR(I210/D210*100,"-")</f>
        <v>91.9</v>
      </c>
      <c r="P210" s="44">
        <f t="shared" si="74"/>
        <v>465.4</v>
      </c>
      <c r="Q210" s="44">
        <f t="shared" ref="Q210:Q215" si="87">IFERROR(J210/E210*100,"-")</f>
        <v>83.8</v>
      </c>
      <c r="R210" s="44">
        <f t="shared" si="75"/>
        <v>4188.8999999999996</v>
      </c>
      <c r="S210" s="44" t="str">
        <f t="shared" si="83"/>
        <v>-</v>
      </c>
      <c r="T210" s="44">
        <f t="shared" si="76"/>
        <v>0</v>
      </c>
    </row>
    <row r="211" spans="1:20" ht="13.5" hidden="1" customHeight="1" outlineLevel="3" x14ac:dyDescent="0.25">
      <c r="A211" s="93"/>
      <c r="B211" s="55" t="s">
        <v>303</v>
      </c>
      <c r="C211" s="44">
        <f t="shared" si="71"/>
        <v>11000</v>
      </c>
      <c r="D211" s="44">
        <v>550</v>
      </c>
      <c r="E211" s="44">
        <v>10450</v>
      </c>
      <c r="F211" s="44">
        <v>0</v>
      </c>
      <c r="G211" s="44">
        <v>0</v>
      </c>
      <c r="H211" s="71">
        <f t="shared" si="85"/>
        <v>11000</v>
      </c>
      <c r="I211" s="44">
        <v>550</v>
      </c>
      <c r="J211" s="44">
        <v>10450</v>
      </c>
      <c r="K211" s="44">
        <v>0</v>
      </c>
      <c r="L211" s="44"/>
      <c r="M211" s="44">
        <f>IFERROR(H211/C211*100,"-")</f>
        <v>100</v>
      </c>
      <c r="N211" s="44">
        <f>C211-H211</f>
        <v>0</v>
      </c>
      <c r="O211" s="44">
        <f t="shared" si="86"/>
        <v>100</v>
      </c>
      <c r="P211" s="44">
        <f>D211-I211</f>
        <v>0</v>
      </c>
      <c r="Q211" s="44">
        <f t="shared" si="87"/>
        <v>100</v>
      </c>
      <c r="R211" s="44">
        <f>E211-J211</f>
        <v>0</v>
      </c>
      <c r="S211" s="44" t="str">
        <f t="shared" si="83"/>
        <v>-</v>
      </c>
      <c r="T211" s="44">
        <f>F211-K211</f>
        <v>0</v>
      </c>
    </row>
    <row r="212" spans="1:20" ht="13.5" hidden="1" customHeight="1" outlineLevel="3" x14ac:dyDescent="0.25">
      <c r="A212" s="93"/>
      <c r="B212" s="55" t="s">
        <v>641</v>
      </c>
      <c r="C212" s="44">
        <f t="shared" si="71"/>
        <v>3014.9</v>
      </c>
      <c r="D212" s="44">
        <f>3014.85</f>
        <v>3014.9</v>
      </c>
      <c r="E212" s="44">
        <v>0</v>
      </c>
      <c r="F212" s="44">
        <v>0</v>
      </c>
      <c r="G212" s="44">
        <v>0</v>
      </c>
      <c r="H212" s="71">
        <f t="shared" si="85"/>
        <v>3014.9</v>
      </c>
      <c r="I212" s="44">
        <f>3014.85</f>
        <v>3014.9</v>
      </c>
      <c r="J212" s="44">
        <v>0</v>
      </c>
      <c r="K212" s="44">
        <v>0</v>
      </c>
      <c r="L212" s="44">
        <v>0</v>
      </c>
      <c r="M212" s="44">
        <f t="shared" ref="M212:M219" si="88">IFERROR(H212/C212*100,"-")</f>
        <v>100</v>
      </c>
      <c r="N212" s="44">
        <f t="shared" si="73"/>
        <v>0</v>
      </c>
      <c r="O212" s="44">
        <f t="shared" si="86"/>
        <v>100</v>
      </c>
      <c r="P212" s="44">
        <f t="shared" si="74"/>
        <v>0</v>
      </c>
      <c r="Q212" s="44" t="str">
        <f t="shared" si="87"/>
        <v>-</v>
      </c>
      <c r="R212" s="44">
        <f t="shared" si="75"/>
        <v>0</v>
      </c>
      <c r="S212" s="44" t="str">
        <f t="shared" ref="S212:S219" si="89">IFERROR(K212/F212*100,"-")</f>
        <v>-</v>
      </c>
      <c r="T212" s="59">
        <f t="shared" si="76"/>
        <v>0</v>
      </c>
    </row>
    <row r="213" spans="1:20" ht="27" hidden="1" customHeight="1" outlineLevel="3" x14ac:dyDescent="0.25">
      <c r="A213" s="93"/>
      <c r="B213" s="55" t="s">
        <v>642</v>
      </c>
      <c r="C213" s="44">
        <f t="shared" si="71"/>
        <v>316.10000000000002</v>
      </c>
      <c r="D213" s="44">
        <v>316.10000000000002</v>
      </c>
      <c r="E213" s="44">
        <v>0</v>
      </c>
      <c r="F213" s="44">
        <v>0</v>
      </c>
      <c r="G213" s="44">
        <v>0</v>
      </c>
      <c r="H213" s="71">
        <f t="shared" si="85"/>
        <v>316.10000000000002</v>
      </c>
      <c r="I213" s="44">
        <v>316.10000000000002</v>
      </c>
      <c r="J213" s="44">
        <v>0</v>
      </c>
      <c r="K213" s="44">
        <v>0</v>
      </c>
      <c r="L213" s="44">
        <v>0</v>
      </c>
      <c r="M213" s="44">
        <f t="shared" si="88"/>
        <v>100</v>
      </c>
      <c r="N213" s="44">
        <f t="shared" si="73"/>
        <v>0</v>
      </c>
      <c r="O213" s="44">
        <f t="shared" si="86"/>
        <v>100</v>
      </c>
      <c r="P213" s="44">
        <f t="shared" si="74"/>
        <v>0</v>
      </c>
      <c r="Q213" s="44" t="str">
        <f t="shared" si="87"/>
        <v>-</v>
      </c>
      <c r="R213" s="44">
        <f t="shared" si="75"/>
        <v>0</v>
      </c>
      <c r="S213" s="44" t="str">
        <f t="shared" si="89"/>
        <v>-</v>
      </c>
      <c r="T213" s="59">
        <f t="shared" si="76"/>
        <v>0</v>
      </c>
    </row>
    <row r="214" spans="1:20" ht="67.5" hidden="1" customHeight="1" outlineLevel="3" x14ac:dyDescent="0.25">
      <c r="A214" s="93"/>
      <c r="B214" s="55" t="s">
        <v>644</v>
      </c>
      <c r="C214" s="44">
        <f t="shared" si="71"/>
        <v>17342.5</v>
      </c>
      <c r="D214" s="44">
        <v>1895.4</v>
      </c>
      <c r="E214" s="44">
        <v>15447.1</v>
      </c>
      <c r="F214" s="44">
        <v>0</v>
      </c>
      <c r="G214" s="44">
        <v>0</v>
      </c>
      <c r="H214" s="71">
        <f t="shared" si="85"/>
        <v>12688.2</v>
      </c>
      <c r="I214" s="44">
        <v>1430</v>
      </c>
      <c r="J214" s="44">
        <v>11258.2</v>
      </c>
      <c r="K214" s="44">
        <v>0</v>
      </c>
      <c r="L214" s="44">
        <v>0</v>
      </c>
      <c r="M214" s="44">
        <f t="shared" si="88"/>
        <v>73.2</v>
      </c>
      <c r="N214" s="44">
        <f t="shared" si="73"/>
        <v>4654.3</v>
      </c>
      <c r="O214" s="44">
        <f t="shared" si="86"/>
        <v>75.400000000000006</v>
      </c>
      <c r="P214" s="44">
        <f t="shared" si="74"/>
        <v>465.4</v>
      </c>
      <c r="Q214" s="44">
        <f t="shared" si="87"/>
        <v>72.900000000000006</v>
      </c>
      <c r="R214" s="44">
        <f t="shared" si="75"/>
        <v>4188.8999999999996</v>
      </c>
      <c r="S214" s="44" t="str">
        <f t="shared" si="89"/>
        <v>-</v>
      </c>
      <c r="T214" s="59">
        <f t="shared" si="76"/>
        <v>0</v>
      </c>
    </row>
    <row r="215" spans="1:20" ht="67.5" hidden="1" outlineLevel="2" x14ac:dyDescent="0.25">
      <c r="A215" s="11"/>
      <c r="B215" s="46" t="s">
        <v>645</v>
      </c>
      <c r="C215" s="44">
        <f t="shared" si="71"/>
        <v>129.1</v>
      </c>
      <c r="D215" s="44">
        <v>0</v>
      </c>
      <c r="E215" s="44">
        <v>129.1</v>
      </c>
      <c r="F215" s="44">
        <v>0</v>
      </c>
      <c r="G215" s="44">
        <v>0</v>
      </c>
      <c r="H215" s="44">
        <f t="shared" si="72"/>
        <v>90.5</v>
      </c>
      <c r="I215" s="44">
        <v>0</v>
      </c>
      <c r="J215" s="44">
        <v>90.5</v>
      </c>
      <c r="K215" s="44">
        <v>0</v>
      </c>
      <c r="L215" s="44">
        <v>0</v>
      </c>
      <c r="M215" s="44">
        <f t="shared" si="88"/>
        <v>70.099999999999994</v>
      </c>
      <c r="N215" s="44">
        <f t="shared" si="73"/>
        <v>38.6</v>
      </c>
      <c r="O215" s="44" t="str">
        <f t="shared" si="86"/>
        <v>-</v>
      </c>
      <c r="P215" s="44">
        <f t="shared" si="74"/>
        <v>0</v>
      </c>
      <c r="Q215" s="44">
        <f t="shared" si="87"/>
        <v>70.099999999999994</v>
      </c>
      <c r="R215" s="44">
        <f t="shared" si="75"/>
        <v>38.6</v>
      </c>
      <c r="S215" s="44" t="str">
        <f t="shared" si="89"/>
        <v>-</v>
      </c>
      <c r="T215" s="59">
        <f t="shared" si="76"/>
        <v>0</v>
      </c>
    </row>
    <row r="216" spans="1:20" ht="54" hidden="1" customHeight="1" outlineLevel="2" x14ac:dyDescent="0.25">
      <c r="A216" s="11"/>
      <c r="B216" s="46" t="s">
        <v>646</v>
      </c>
      <c r="C216" s="44">
        <f t="shared" si="71"/>
        <v>38506.300000000003</v>
      </c>
      <c r="D216" s="209">
        <f>3575.6+0.1</f>
        <v>3575.7</v>
      </c>
      <c r="E216" s="44">
        <v>34930.6</v>
      </c>
      <c r="F216" s="44">
        <v>0</v>
      </c>
      <c r="G216" s="44">
        <v>0</v>
      </c>
      <c r="H216" s="44">
        <f t="shared" si="72"/>
        <v>38405.800000000003</v>
      </c>
      <c r="I216" s="209">
        <f>3535.48785-0.1</f>
        <v>3535.4</v>
      </c>
      <c r="J216" s="44">
        <v>34870.400000000001</v>
      </c>
      <c r="K216" s="44">
        <v>0</v>
      </c>
      <c r="L216" s="44">
        <v>0</v>
      </c>
      <c r="M216" s="44">
        <f>IFERROR(H216/C216*100,"-")</f>
        <v>99.7</v>
      </c>
      <c r="N216" s="44">
        <f>C216-H216</f>
        <v>100.5</v>
      </c>
      <c r="O216" s="44">
        <f>IFERROR(I216/E216*100,"-")</f>
        <v>10.1</v>
      </c>
      <c r="P216" s="44">
        <f t="shared" si="74"/>
        <v>40.299999999999997</v>
      </c>
      <c r="Q216" s="44" t="str">
        <f>IFERROR(J216/#REF!*100,"-")</f>
        <v>-</v>
      </c>
      <c r="R216" s="44">
        <f t="shared" si="75"/>
        <v>60.2</v>
      </c>
      <c r="S216" s="44" t="str">
        <f t="shared" si="89"/>
        <v>-</v>
      </c>
      <c r="T216" s="59">
        <f t="shared" si="76"/>
        <v>0</v>
      </c>
    </row>
    <row r="217" spans="1:20" ht="54" hidden="1" customHeight="1" outlineLevel="2" x14ac:dyDescent="0.25">
      <c r="A217" s="11"/>
      <c r="B217" s="46" t="s">
        <v>647</v>
      </c>
      <c r="C217" s="44">
        <f t="shared" si="71"/>
        <v>18400.3</v>
      </c>
      <c r="D217" s="44">
        <v>0</v>
      </c>
      <c r="E217" s="44">
        <v>18400.3</v>
      </c>
      <c r="F217" s="44">
        <v>0</v>
      </c>
      <c r="G217" s="44">
        <v>0</v>
      </c>
      <c r="H217" s="44">
        <f t="shared" si="72"/>
        <v>18400.3</v>
      </c>
      <c r="I217" s="44">
        <v>0</v>
      </c>
      <c r="J217" s="44">
        <v>18400.3</v>
      </c>
      <c r="K217" s="44">
        <v>0</v>
      </c>
      <c r="L217" s="44">
        <v>0</v>
      </c>
      <c r="M217" s="44">
        <f>IFERROR(H217/C217*100,"-")</f>
        <v>100</v>
      </c>
      <c r="N217" s="44">
        <f>C217-H217</f>
        <v>0</v>
      </c>
      <c r="O217" s="44">
        <f>IFERROR(I217/E217*100,"-")</f>
        <v>0</v>
      </c>
      <c r="P217" s="44">
        <f>D217-I217</f>
        <v>0</v>
      </c>
      <c r="Q217" s="44" t="str">
        <f>IFERROR(J217/#REF!*100,"-")</f>
        <v>-</v>
      </c>
      <c r="R217" s="44">
        <f>E217-J217</f>
        <v>0</v>
      </c>
      <c r="S217" s="44" t="str">
        <f>IFERROR(K217/F217*100,"-")</f>
        <v>-</v>
      </c>
      <c r="T217" s="59">
        <f>F217-K217</f>
        <v>0</v>
      </c>
    </row>
    <row r="218" spans="1:20" s="63" customFormat="1" ht="27" hidden="1" outlineLevel="1" x14ac:dyDescent="0.25">
      <c r="A218" s="93"/>
      <c r="B218" s="58" t="s">
        <v>40</v>
      </c>
      <c r="C218" s="59">
        <f t="shared" si="71"/>
        <v>0</v>
      </c>
      <c r="D218" s="59">
        <f>D219</f>
        <v>0</v>
      </c>
      <c r="E218" s="59">
        <f>E219</f>
        <v>0</v>
      </c>
      <c r="F218" s="59">
        <f>F219</f>
        <v>0</v>
      </c>
      <c r="G218" s="59">
        <f>G219</f>
        <v>0</v>
      </c>
      <c r="H218" s="59">
        <f>SUM(I218:K218)</f>
        <v>0</v>
      </c>
      <c r="I218" s="59">
        <f>I219</f>
        <v>0</v>
      </c>
      <c r="J218" s="59">
        <f>J219</f>
        <v>0</v>
      </c>
      <c r="K218" s="59">
        <f>K219</f>
        <v>0</v>
      </c>
      <c r="L218" s="59">
        <f>L219</f>
        <v>0</v>
      </c>
      <c r="M218" s="59" t="str">
        <f t="shared" si="88"/>
        <v>-</v>
      </c>
      <c r="N218" s="59">
        <f>C218-H218</f>
        <v>0</v>
      </c>
      <c r="O218" s="59" t="str">
        <f>IFERROR(I218/E218*100,"-")</f>
        <v>-</v>
      </c>
      <c r="P218" s="59">
        <f t="shared" si="74"/>
        <v>0</v>
      </c>
      <c r="Q218" s="59" t="str">
        <f>IFERROR(J218/#REF!*100,"-")</f>
        <v>-</v>
      </c>
      <c r="R218" s="59">
        <f t="shared" si="75"/>
        <v>0</v>
      </c>
      <c r="S218" s="59" t="str">
        <f t="shared" si="89"/>
        <v>-</v>
      </c>
      <c r="T218" s="59">
        <f t="shared" si="76"/>
        <v>0</v>
      </c>
    </row>
    <row r="219" spans="1:20" ht="40.5" hidden="1" customHeight="1" outlineLevel="2" x14ac:dyDescent="0.25">
      <c r="A219" s="11"/>
      <c r="B219" s="46" t="s">
        <v>656</v>
      </c>
      <c r="C219" s="44">
        <f t="shared" si="71"/>
        <v>0</v>
      </c>
      <c r="D219" s="44">
        <v>0</v>
      </c>
      <c r="E219" s="44">
        <v>0</v>
      </c>
      <c r="F219" s="44">
        <v>0</v>
      </c>
      <c r="G219" s="44">
        <v>0</v>
      </c>
      <c r="H219" s="44">
        <f t="shared" si="72"/>
        <v>0</v>
      </c>
      <c r="I219" s="44">
        <v>0</v>
      </c>
      <c r="J219" s="44">
        <v>0</v>
      </c>
      <c r="K219" s="44">
        <v>0</v>
      </c>
      <c r="L219" s="44">
        <v>0</v>
      </c>
      <c r="M219" s="44" t="str">
        <f t="shared" si="88"/>
        <v>-</v>
      </c>
      <c r="N219" s="44">
        <f>C219-H219</f>
        <v>0</v>
      </c>
      <c r="O219" s="44" t="str">
        <f>IFERROR(I219/E219*100,"-")</f>
        <v>-</v>
      </c>
      <c r="P219" s="44">
        <f t="shared" si="74"/>
        <v>0</v>
      </c>
      <c r="Q219" s="44" t="str">
        <f>IFERROR(J219/#REF!*100,"-")</f>
        <v>-</v>
      </c>
      <c r="R219" s="44">
        <f t="shared" si="75"/>
        <v>0</v>
      </c>
      <c r="S219" s="44" t="str">
        <f t="shared" si="89"/>
        <v>-</v>
      </c>
      <c r="T219" s="44">
        <f t="shared" si="76"/>
        <v>0</v>
      </c>
    </row>
    <row r="220" spans="1:20" s="22" customFormat="1" ht="27" hidden="1" customHeight="1" outlineLevel="1" x14ac:dyDescent="0.25">
      <c r="A220" s="6"/>
      <c r="B220" s="58" t="s">
        <v>304</v>
      </c>
      <c r="C220" s="59">
        <f>SUM(D220:F220)</f>
        <v>2752.7</v>
      </c>
      <c r="D220" s="59">
        <f>D221</f>
        <v>2752.7</v>
      </c>
      <c r="E220" s="59">
        <f>E221</f>
        <v>0</v>
      </c>
      <c r="F220" s="59">
        <f>F221</f>
        <v>0</v>
      </c>
      <c r="G220" s="59">
        <v>0</v>
      </c>
      <c r="H220" s="59">
        <f>SUM(I220:K220)</f>
        <v>2752.6</v>
      </c>
      <c r="I220" s="59">
        <f>I221</f>
        <v>2752.6</v>
      </c>
      <c r="J220" s="59">
        <f>J221</f>
        <v>0</v>
      </c>
      <c r="K220" s="59">
        <f>K221</f>
        <v>0</v>
      </c>
      <c r="L220" s="59">
        <v>0</v>
      </c>
      <c r="M220" s="59">
        <f>IFERROR(H220/C220*100,"-")</f>
        <v>100</v>
      </c>
      <c r="N220" s="59">
        <f t="shared" si="73"/>
        <v>0.1</v>
      </c>
      <c r="O220" s="59">
        <f>IFERROR(I220/D220*100,"-")</f>
        <v>100</v>
      </c>
      <c r="P220" s="59">
        <f t="shared" si="74"/>
        <v>0.1</v>
      </c>
      <c r="Q220" s="59" t="str">
        <f>IFERROR(J220/E220*100,"-")</f>
        <v>-</v>
      </c>
      <c r="R220" s="59">
        <f t="shared" si="75"/>
        <v>0</v>
      </c>
      <c r="S220" s="59" t="str">
        <f>IFERROR(K220/F220*100,"-")</f>
        <v>-</v>
      </c>
      <c r="T220" s="59">
        <f t="shared" si="76"/>
        <v>0</v>
      </c>
    </row>
    <row r="221" spans="1:20" ht="27" hidden="1" outlineLevel="2" x14ac:dyDescent="0.25">
      <c r="A221" s="6"/>
      <c r="B221" s="46" t="s">
        <v>648</v>
      </c>
      <c r="C221" s="44">
        <f>SUM(D221:F221)</f>
        <v>2752.7</v>
      </c>
      <c r="D221" s="44">
        <v>2752.7</v>
      </c>
      <c r="E221" s="44">
        <v>0</v>
      </c>
      <c r="F221" s="44">
        <v>0</v>
      </c>
      <c r="G221" s="44"/>
      <c r="H221" s="44">
        <f>SUM(I221:K221)</f>
        <v>2752.6</v>
      </c>
      <c r="I221" s="44">
        <v>2752.6</v>
      </c>
      <c r="J221" s="44">
        <v>0</v>
      </c>
      <c r="K221" s="44">
        <v>0</v>
      </c>
      <c r="L221" s="44"/>
      <c r="M221" s="44">
        <f>IFERROR(H221/C221*100,"-")</f>
        <v>100</v>
      </c>
      <c r="N221" s="44">
        <f t="shared" si="73"/>
        <v>0.1</v>
      </c>
      <c r="O221" s="44">
        <f>IFERROR(I221/D221*100,"-")</f>
        <v>100</v>
      </c>
      <c r="P221" s="44">
        <f t="shared" si="74"/>
        <v>0.1</v>
      </c>
      <c r="Q221" s="44" t="str">
        <f>IFERROR(J221/E221*100,"-")</f>
        <v>-</v>
      </c>
      <c r="R221" s="44">
        <f t="shared" si="75"/>
        <v>0</v>
      </c>
      <c r="S221" s="44" t="str">
        <f>IFERROR(K221/F221*100,"-")</f>
        <v>-</v>
      </c>
      <c r="T221" s="44">
        <f t="shared" si="76"/>
        <v>0</v>
      </c>
    </row>
    <row r="222" spans="1:20" s="57" customFormat="1" ht="27" hidden="1" outlineLevel="1" x14ac:dyDescent="0.25">
      <c r="A222" s="6"/>
      <c r="B222" s="58" t="s">
        <v>243</v>
      </c>
      <c r="C222" s="59">
        <f>SUM(D222:F222)</f>
        <v>0</v>
      </c>
      <c r="D222" s="59">
        <v>0</v>
      </c>
      <c r="E222" s="59">
        <v>0</v>
      </c>
      <c r="F222" s="59">
        <v>0</v>
      </c>
      <c r="G222" s="59">
        <v>0</v>
      </c>
      <c r="H222" s="59">
        <f>SUM(I222:K222)</f>
        <v>0</v>
      </c>
      <c r="I222" s="59">
        <v>0</v>
      </c>
      <c r="J222" s="59">
        <v>0</v>
      </c>
      <c r="K222" s="59">
        <v>0</v>
      </c>
      <c r="L222" s="59">
        <v>0</v>
      </c>
      <c r="M222" s="59" t="str">
        <f t="shared" si="79"/>
        <v>-</v>
      </c>
      <c r="N222" s="59">
        <f t="shared" ref="N222:N298" si="90">C222-H222</f>
        <v>0</v>
      </c>
      <c r="O222" s="59" t="str">
        <f t="shared" si="80"/>
        <v>-</v>
      </c>
      <c r="P222" s="59">
        <f t="shared" ref="P222:P298" si="91">D222-I222</f>
        <v>0</v>
      </c>
      <c r="Q222" s="59" t="str">
        <f t="shared" si="81"/>
        <v>-</v>
      </c>
      <c r="R222" s="59">
        <f t="shared" ref="R222:R298" si="92">E222-J222</f>
        <v>0</v>
      </c>
      <c r="S222" s="59" t="str">
        <f>IFERROR(K222/F222*100,"-")</f>
        <v>-</v>
      </c>
      <c r="T222" s="59">
        <f t="shared" ref="T222:T298" si="93">F222-K222</f>
        <v>0</v>
      </c>
    </row>
    <row r="223" spans="1:20" s="57" customFormat="1" ht="27" hidden="1" customHeight="1" outlineLevel="1" collapsed="1" x14ac:dyDescent="0.25">
      <c r="A223" s="6"/>
      <c r="B223" s="58" t="s">
        <v>393</v>
      </c>
      <c r="C223" s="59">
        <f t="shared" ref="C223:C279" si="94">SUM(D223:F223)</f>
        <v>152480.5</v>
      </c>
      <c r="D223" s="59">
        <f>D224+D229+D230</f>
        <v>149980.5</v>
      </c>
      <c r="E223" s="59">
        <f>E224+E229+E230</f>
        <v>2500</v>
      </c>
      <c r="F223" s="59">
        <f>F224+F229+F230</f>
        <v>0</v>
      </c>
      <c r="G223" s="59">
        <f>G224+G229+G230</f>
        <v>0</v>
      </c>
      <c r="H223" s="59">
        <f t="shared" ref="H223:H276" si="95">SUM(I223:K223)</f>
        <v>149159.6</v>
      </c>
      <c r="I223" s="59">
        <f>I224+I229+I230</f>
        <v>146659.6</v>
      </c>
      <c r="J223" s="59">
        <f>J224+J229+J230</f>
        <v>2500</v>
      </c>
      <c r="K223" s="59">
        <f>K224+K229+K230</f>
        <v>0</v>
      </c>
      <c r="L223" s="59">
        <f>L224+L229+L230</f>
        <v>0</v>
      </c>
      <c r="M223" s="59">
        <f t="shared" si="79"/>
        <v>97.8</v>
      </c>
      <c r="N223" s="59">
        <f t="shared" si="90"/>
        <v>3320.9</v>
      </c>
      <c r="O223" s="59">
        <f t="shared" si="80"/>
        <v>97.8</v>
      </c>
      <c r="P223" s="59">
        <f t="shared" si="91"/>
        <v>3320.9</v>
      </c>
      <c r="Q223" s="59">
        <f t="shared" si="81"/>
        <v>100</v>
      </c>
      <c r="R223" s="59">
        <f t="shared" si="92"/>
        <v>0</v>
      </c>
      <c r="S223" s="59" t="str">
        <f>IFERROR(K223/F223*100,"-")</f>
        <v>-</v>
      </c>
      <c r="T223" s="59">
        <f t="shared" si="93"/>
        <v>0</v>
      </c>
    </row>
    <row r="224" spans="1:20" ht="27" hidden="1" customHeight="1" outlineLevel="1" x14ac:dyDescent="0.25">
      <c r="A224" s="169"/>
      <c r="B224" s="46" t="s">
        <v>653</v>
      </c>
      <c r="C224" s="44">
        <f>SUM(D224:F224)</f>
        <v>136561.70000000001</v>
      </c>
      <c r="D224" s="44">
        <f>D225+D226+D227+D228</f>
        <v>134061.70000000001</v>
      </c>
      <c r="E224" s="44">
        <f>E225+E226+E227+E228</f>
        <v>2500</v>
      </c>
      <c r="F224" s="44">
        <f>F225+F226+F227+F228</f>
        <v>0</v>
      </c>
      <c r="G224" s="44">
        <f>G225+G226+G227+G228</f>
        <v>0</v>
      </c>
      <c r="H224" s="44">
        <f t="shared" si="95"/>
        <v>133940.9</v>
      </c>
      <c r="I224" s="44">
        <f>I225+I226+I227+I228</f>
        <v>131440.9</v>
      </c>
      <c r="J224" s="44">
        <f>J225+J226+J227+J228</f>
        <v>2500</v>
      </c>
      <c r="K224" s="44">
        <f>K225+K226+K227+K228</f>
        <v>0</v>
      </c>
      <c r="L224" s="44">
        <f>L225+L226+L227+L228</f>
        <v>0</v>
      </c>
      <c r="M224" s="44">
        <f t="shared" si="79"/>
        <v>98.1</v>
      </c>
      <c r="N224" s="44">
        <f t="shared" si="90"/>
        <v>2620.8000000000002</v>
      </c>
      <c r="O224" s="44">
        <f t="shared" si="80"/>
        <v>98</v>
      </c>
      <c r="P224" s="44">
        <f t="shared" si="91"/>
        <v>2620.8000000000002</v>
      </c>
      <c r="Q224" s="44">
        <f t="shared" si="81"/>
        <v>100</v>
      </c>
      <c r="R224" s="44">
        <f t="shared" si="92"/>
        <v>0</v>
      </c>
      <c r="S224" s="44" t="str">
        <f>IFERROR(#REF!/#REF!*100,"-")</f>
        <v>-</v>
      </c>
      <c r="T224" s="44">
        <f t="shared" si="93"/>
        <v>0</v>
      </c>
    </row>
    <row r="225" spans="1:20" ht="13.5" hidden="1" customHeight="1" outlineLevel="2" x14ac:dyDescent="0.25">
      <c r="A225" s="169"/>
      <c r="B225" s="55" t="s">
        <v>649</v>
      </c>
      <c r="C225" s="44">
        <f t="shared" si="94"/>
        <v>3532.1</v>
      </c>
      <c r="D225" s="44">
        <f>3532.1316</f>
        <v>3532.1</v>
      </c>
      <c r="E225" s="44">
        <v>0</v>
      </c>
      <c r="F225" s="44">
        <v>0</v>
      </c>
      <c r="G225" s="44">
        <v>0</v>
      </c>
      <c r="H225" s="44">
        <f t="shared" si="95"/>
        <v>3532.1</v>
      </c>
      <c r="I225" s="44">
        <f>3532.1316</f>
        <v>3532.1</v>
      </c>
      <c r="J225" s="44">
        <v>0</v>
      </c>
      <c r="K225" s="44">
        <v>0</v>
      </c>
      <c r="L225" s="44">
        <v>0</v>
      </c>
      <c r="M225" s="44">
        <f t="shared" si="79"/>
        <v>100</v>
      </c>
      <c r="N225" s="44">
        <f t="shared" si="90"/>
        <v>0</v>
      </c>
      <c r="O225" s="44">
        <f t="shared" si="80"/>
        <v>100</v>
      </c>
      <c r="P225" s="44">
        <f t="shared" si="91"/>
        <v>0</v>
      </c>
      <c r="Q225" s="44" t="str">
        <f t="shared" si="81"/>
        <v>-</v>
      </c>
      <c r="R225" s="44">
        <f t="shared" si="92"/>
        <v>0</v>
      </c>
      <c r="S225" s="44" t="str">
        <f>IFERROR(#REF!/#REF!*100,"-")</f>
        <v>-</v>
      </c>
      <c r="T225" s="44">
        <f t="shared" si="93"/>
        <v>0</v>
      </c>
    </row>
    <row r="226" spans="1:20" ht="15" hidden="1" customHeight="1" outlineLevel="2" x14ac:dyDescent="0.25">
      <c r="A226" s="169"/>
      <c r="B226" s="167" t="s">
        <v>650</v>
      </c>
      <c r="C226" s="44">
        <f t="shared" si="94"/>
        <v>16180.8</v>
      </c>
      <c r="D226" s="44">
        <v>16180.8</v>
      </c>
      <c r="E226" s="44">
        <v>0</v>
      </c>
      <c r="F226" s="44">
        <v>0</v>
      </c>
      <c r="G226" s="44">
        <v>0</v>
      </c>
      <c r="H226" s="44">
        <f t="shared" si="95"/>
        <v>16127.7</v>
      </c>
      <c r="I226" s="44">
        <f>16127.72035</f>
        <v>16127.7</v>
      </c>
      <c r="J226" s="44">
        <v>0</v>
      </c>
      <c r="K226" s="44">
        <v>0</v>
      </c>
      <c r="L226" s="44">
        <v>0</v>
      </c>
      <c r="M226" s="44">
        <f t="shared" si="79"/>
        <v>99.7</v>
      </c>
      <c r="N226" s="44">
        <f t="shared" si="90"/>
        <v>53.1</v>
      </c>
      <c r="O226" s="44">
        <f t="shared" si="80"/>
        <v>99.7</v>
      </c>
      <c r="P226" s="44">
        <f t="shared" si="91"/>
        <v>53.1</v>
      </c>
      <c r="Q226" s="44" t="str">
        <f t="shared" si="81"/>
        <v>-</v>
      </c>
      <c r="R226" s="44">
        <f t="shared" si="92"/>
        <v>0</v>
      </c>
      <c r="S226" s="44" t="str">
        <f>IFERROR(#REF!/#REF!*100,"-")</f>
        <v>-</v>
      </c>
      <c r="T226" s="44">
        <f t="shared" si="93"/>
        <v>0</v>
      </c>
    </row>
    <row r="227" spans="1:20" ht="15" hidden="1" customHeight="1" outlineLevel="2" x14ac:dyDescent="0.25">
      <c r="A227" s="169"/>
      <c r="B227" s="168" t="s">
        <v>652</v>
      </c>
      <c r="C227" s="44">
        <f t="shared" si="94"/>
        <v>113998.8</v>
      </c>
      <c r="D227" s="44">
        <v>113998.8</v>
      </c>
      <c r="E227" s="44">
        <v>0</v>
      </c>
      <c r="F227" s="44">
        <v>0</v>
      </c>
      <c r="G227" s="44">
        <v>0</v>
      </c>
      <c r="H227" s="44">
        <f t="shared" si="95"/>
        <v>111431.1</v>
      </c>
      <c r="I227" s="44">
        <f>111431.112178</f>
        <v>111431.1</v>
      </c>
      <c r="J227" s="44">
        <v>0</v>
      </c>
      <c r="K227" s="44">
        <v>0</v>
      </c>
      <c r="L227" s="44">
        <v>0</v>
      </c>
      <c r="M227" s="44">
        <f t="shared" si="79"/>
        <v>97.7</v>
      </c>
      <c r="N227" s="44">
        <f t="shared" si="90"/>
        <v>2567.6999999999998</v>
      </c>
      <c r="O227" s="44">
        <f t="shared" si="80"/>
        <v>97.7</v>
      </c>
      <c r="P227" s="44">
        <f t="shared" si="91"/>
        <v>2567.6999999999998</v>
      </c>
      <c r="Q227" s="44" t="str">
        <f t="shared" si="81"/>
        <v>-</v>
      </c>
      <c r="R227" s="44">
        <f t="shared" si="92"/>
        <v>0</v>
      </c>
      <c r="S227" s="44" t="str">
        <f>IFERROR(#REF!/#REF!*100,"-")</f>
        <v>-</v>
      </c>
      <c r="T227" s="44">
        <f t="shared" si="93"/>
        <v>0</v>
      </c>
    </row>
    <row r="228" spans="1:20" ht="27" hidden="1" customHeight="1" outlineLevel="2" x14ac:dyDescent="0.25">
      <c r="A228" s="169"/>
      <c r="B228" s="55" t="s">
        <v>651</v>
      </c>
      <c r="C228" s="44">
        <f t="shared" si="94"/>
        <v>2850</v>
      </c>
      <c r="D228" s="44">
        <v>350</v>
      </c>
      <c r="E228" s="44">
        <v>2500</v>
      </c>
      <c r="F228" s="44">
        <v>0</v>
      </c>
      <c r="G228" s="44">
        <v>0</v>
      </c>
      <c r="H228" s="44">
        <f t="shared" si="95"/>
        <v>2850</v>
      </c>
      <c r="I228" s="44">
        <v>350</v>
      </c>
      <c r="J228" s="44">
        <v>2500</v>
      </c>
      <c r="K228" s="44">
        <v>0</v>
      </c>
      <c r="L228" s="44">
        <v>0</v>
      </c>
      <c r="M228" s="44">
        <f t="shared" si="79"/>
        <v>100</v>
      </c>
      <c r="N228" s="44">
        <f t="shared" si="90"/>
        <v>0</v>
      </c>
      <c r="O228" s="44">
        <f t="shared" si="80"/>
        <v>100</v>
      </c>
      <c r="P228" s="44">
        <f t="shared" si="91"/>
        <v>0</v>
      </c>
      <c r="Q228" s="44">
        <f t="shared" si="81"/>
        <v>100</v>
      </c>
      <c r="R228" s="44">
        <f t="shared" si="92"/>
        <v>0</v>
      </c>
      <c r="S228" s="44" t="str">
        <f>IFERROR(#REF!/#REF!*100,"-")</f>
        <v>-</v>
      </c>
      <c r="T228" s="44">
        <f t="shared" si="93"/>
        <v>0</v>
      </c>
    </row>
    <row r="229" spans="1:20" ht="54" hidden="1" outlineLevel="1" x14ac:dyDescent="0.25">
      <c r="A229" s="36"/>
      <c r="B229" s="46" t="s">
        <v>654</v>
      </c>
      <c r="C229" s="44">
        <f t="shared" si="94"/>
        <v>12750</v>
      </c>
      <c r="D229" s="44">
        <v>12750</v>
      </c>
      <c r="E229" s="44">
        <v>0</v>
      </c>
      <c r="F229" s="44">
        <v>0</v>
      </c>
      <c r="G229" s="44">
        <v>0</v>
      </c>
      <c r="H229" s="44">
        <f t="shared" si="95"/>
        <v>12074.3</v>
      </c>
      <c r="I229" s="44">
        <v>12074.3</v>
      </c>
      <c r="J229" s="44">
        <v>0</v>
      </c>
      <c r="K229" s="44">
        <v>0</v>
      </c>
      <c r="L229" s="44">
        <v>0</v>
      </c>
      <c r="M229" s="44">
        <f t="shared" si="79"/>
        <v>94.7</v>
      </c>
      <c r="N229" s="44">
        <f t="shared" si="90"/>
        <v>675.7</v>
      </c>
      <c r="O229" s="44">
        <f t="shared" si="80"/>
        <v>94.7</v>
      </c>
      <c r="P229" s="44">
        <f t="shared" si="91"/>
        <v>675.7</v>
      </c>
      <c r="Q229" s="44" t="str">
        <f t="shared" si="81"/>
        <v>-</v>
      </c>
      <c r="R229" s="44">
        <f t="shared" si="92"/>
        <v>0</v>
      </c>
      <c r="S229" s="44" t="str">
        <f>IFERROR(K229/F229*100,"-")</f>
        <v>-</v>
      </c>
      <c r="T229" s="44">
        <f t="shared" si="93"/>
        <v>0</v>
      </c>
    </row>
    <row r="230" spans="1:20" ht="40.5" hidden="1" outlineLevel="1" x14ac:dyDescent="0.25">
      <c r="A230" s="36"/>
      <c r="B230" s="46" t="s">
        <v>655</v>
      </c>
      <c r="C230" s="44">
        <f t="shared" si="94"/>
        <v>3168.8</v>
      </c>
      <c r="D230" s="44">
        <v>3168.8</v>
      </c>
      <c r="E230" s="44">
        <v>0</v>
      </c>
      <c r="F230" s="44">
        <v>0</v>
      </c>
      <c r="G230" s="44">
        <v>0</v>
      </c>
      <c r="H230" s="44">
        <f t="shared" si="95"/>
        <v>3144.4</v>
      </c>
      <c r="I230" s="44">
        <v>3144.4</v>
      </c>
      <c r="J230" s="44">
        <v>0</v>
      </c>
      <c r="K230" s="44">
        <v>0</v>
      </c>
      <c r="L230" s="44">
        <v>0</v>
      </c>
      <c r="M230" s="44">
        <f t="shared" si="79"/>
        <v>99.2</v>
      </c>
      <c r="N230" s="44">
        <f t="shared" si="90"/>
        <v>24.4</v>
      </c>
      <c r="O230" s="44">
        <f t="shared" si="80"/>
        <v>99.2</v>
      </c>
      <c r="P230" s="44">
        <f t="shared" si="91"/>
        <v>24.4</v>
      </c>
      <c r="Q230" s="44" t="str">
        <f t="shared" si="81"/>
        <v>-</v>
      </c>
      <c r="R230" s="44">
        <f t="shared" si="92"/>
        <v>0</v>
      </c>
      <c r="S230" s="44" t="str">
        <f>IFERROR(#REF!/F230*100,"-")</f>
        <v>-</v>
      </c>
      <c r="T230" s="44">
        <f t="shared" si="93"/>
        <v>0</v>
      </c>
    </row>
    <row r="231" spans="1:20" s="62" customFormat="1" ht="67.5" collapsed="1" x14ac:dyDescent="0.25">
      <c r="A231" s="48">
        <v>13</v>
      </c>
      <c r="B231" s="41" t="s">
        <v>173</v>
      </c>
      <c r="C231" s="42">
        <f>SUM(D231:F231)</f>
        <v>3686</v>
      </c>
      <c r="D231" s="43">
        <f>D232+D241</f>
        <v>1393.7</v>
      </c>
      <c r="E231" s="43">
        <f>E232+E241</f>
        <v>2292.3000000000002</v>
      </c>
      <c r="F231" s="43">
        <f>F232+F241</f>
        <v>0</v>
      </c>
      <c r="G231" s="43">
        <f>G232+G241</f>
        <v>0</v>
      </c>
      <c r="H231" s="42">
        <f>SUM(I231:K231)</f>
        <v>3686</v>
      </c>
      <c r="I231" s="43">
        <f>I232+I241</f>
        <v>1393.7</v>
      </c>
      <c r="J231" s="43">
        <f>J232+J241</f>
        <v>2292.3000000000002</v>
      </c>
      <c r="K231" s="43">
        <f>K232+K241</f>
        <v>0</v>
      </c>
      <c r="L231" s="43">
        <f>L232+L241</f>
        <v>0</v>
      </c>
      <c r="M231" s="42">
        <f t="shared" si="79"/>
        <v>100</v>
      </c>
      <c r="N231" s="42">
        <f>C231-H231</f>
        <v>0</v>
      </c>
      <c r="O231" s="42">
        <f t="shared" si="80"/>
        <v>100</v>
      </c>
      <c r="P231" s="42">
        <f t="shared" si="91"/>
        <v>0</v>
      </c>
      <c r="Q231" s="42">
        <f t="shared" si="81"/>
        <v>100</v>
      </c>
      <c r="R231" s="42">
        <f t="shared" si="92"/>
        <v>0</v>
      </c>
      <c r="S231" s="42" t="str">
        <f>IFERROR(K231/F231*100,"-")</f>
        <v>-</v>
      </c>
      <c r="T231" s="42">
        <f t="shared" si="93"/>
        <v>0</v>
      </c>
    </row>
    <row r="232" spans="1:20" s="57" customFormat="1" ht="54" hidden="1" outlineLevel="1" x14ac:dyDescent="0.25">
      <c r="A232" s="70"/>
      <c r="B232" s="46" t="s">
        <v>663</v>
      </c>
      <c r="C232" s="44">
        <f>SUM(D232:F232)</f>
        <v>1875</v>
      </c>
      <c r="D232" s="73">
        <f>SUM(D233:D240)</f>
        <v>1290</v>
      </c>
      <c r="E232" s="73">
        <f>SUM(E233:E240)</f>
        <v>585</v>
      </c>
      <c r="F232" s="73">
        <f>SUM(F233:F240)</f>
        <v>0</v>
      </c>
      <c r="G232" s="73">
        <f>SUM(G233:G240)</f>
        <v>0</v>
      </c>
      <c r="H232" s="44">
        <f t="shared" si="95"/>
        <v>1875</v>
      </c>
      <c r="I232" s="73">
        <f>SUM(I233:I240)</f>
        <v>1290</v>
      </c>
      <c r="J232" s="73">
        <f>SUM(J233:J240)</f>
        <v>585</v>
      </c>
      <c r="K232" s="73">
        <f>SUM(K233:K240)</f>
        <v>0</v>
      </c>
      <c r="L232" s="73">
        <f>SUM(L233:L240)</f>
        <v>0</v>
      </c>
      <c r="M232" s="44">
        <f t="shared" si="79"/>
        <v>100</v>
      </c>
      <c r="N232" s="44">
        <f t="shared" si="90"/>
        <v>0</v>
      </c>
      <c r="O232" s="44">
        <f t="shared" si="80"/>
        <v>100</v>
      </c>
      <c r="P232" s="44">
        <f t="shared" si="91"/>
        <v>0</v>
      </c>
      <c r="Q232" s="44">
        <f t="shared" si="81"/>
        <v>100</v>
      </c>
      <c r="R232" s="44">
        <f t="shared" si="92"/>
        <v>0</v>
      </c>
      <c r="S232" s="44" t="str">
        <f>IFERROR(K232/F232*100,"-")</f>
        <v>-</v>
      </c>
      <c r="T232" s="44">
        <f t="shared" si="93"/>
        <v>0</v>
      </c>
    </row>
    <row r="233" spans="1:20" s="57" customFormat="1" ht="27" hidden="1" outlineLevel="1" x14ac:dyDescent="0.25">
      <c r="A233" s="70"/>
      <c r="B233" s="55" t="s">
        <v>279</v>
      </c>
      <c r="C233" s="44">
        <f t="shared" ref="C233:C241" si="96">SUM(D233:F233)</f>
        <v>75</v>
      </c>
      <c r="D233" s="73">
        <v>75</v>
      </c>
      <c r="E233" s="73">
        <v>0</v>
      </c>
      <c r="F233" s="73">
        <v>0</v>
      </c>
      <c r="G233" s="73">
        <v>0</v>
      </c>
      <c r="H233" s="44">
        <f t="shared" si="95"/>
        <v>75</v>
      </c>
      <c r="I233" s="73">
        <v>75</v>
      </c>
      <c r="J233" s="73">
        <v>0</v>
      </c>
      <c r="K233" s="73">
        <v>0</v>
      </c>
      <c r="L233" s="73">
        <v>0</v>
      </c>
      <c r="M233" s="44">
        <f t="shared" si="79"/>
        <v>100</v>
      </c>
      <c r="N233" s="44">
        <f t="shared" si="90"/>
        <v>0</v>
      </c>
      <c r="O233" s="44">
        <f t="shared" si="80"/>
        <v>100</v>
      </c>
      <c r="P233" s="44">
        <f t="shared" si="91"/>
        <v>0</v>
      </c>
      <c r="Q233" s="44" t="str">
        <f t="shared" si="81"/>
        <v>-</v>
      </c>
      <c r="R233" s="44">
        <f t="shared" si="92"/>
        <v>0</v>
      </c>
      <c r="S233" s="44" t="str">
        <f>IFERROR(K233/F233*100,"-")</f>
        <v>-</v>
      </c>
      <c r="T233" s="44">
        <f t="shared" si="93"/>
        <v>0</v>
      </c>
    </row>
    <row r="234" spans="1:20" s="57" customFormat="1" ht="40.5" hidden="1" outlineLevel="1" x14ac:dyDescent="0.2">
      <c r="A234" s="70"/>
      <c r="B234" s="178" t="s">
        <v>348</v>
      </c>
      <c r="C234" s="44">
        <f t="shared" si="96"/>
        <v>30</v>
      </c>
      <c r="D234" s="73">
        <v>22.5</v>
      </c>
      <c r="E234" s="73">
        <v>7.5</v>
      </c>
      <c r="F234" s="73">
        <v>0</v>
      </c>
      <c r="G234" s="73">
        <v>0</v>
      </c>
      <c r="H234" s="44">
        <f t="shared" si="95"/>
        <v>30</v>
      </c>
      <c r="I234" s="73">
        <v>22.5</v>
      </c>
      <c r="J234" s="73">
        <v>7.5</v>
      </c>
      <c r="K234" s="73">
        <v>0</v>
      </c>
      <c r="L234" s="73">
        <v>0</v>
      </c>
      <c r="M234" s="44">
        <f t="shared" si="79"/>
        <v>100</v>
      </c>
      <c r="N234" s="44">
        <f t="shared" si="90"/>
        <v>0</v>
      </c>
      <c r="O234" s="44">
        <f t="shared" si="80"/>
        <v>100</v>
      </c>
      <c r="P234" s="44">
        <f t="shared" si="91"/>
        <v>0</v>
      </c>
      <c r="Q234" s="44">
        <f t="shared" si="81"/>
        <v>100</v>
      </c>
      <c r="R234" s="44">
        <f t="shared" si="92"/>
        <v>0</v>
      </c>
      <c r="S234" s="44" t="str">
        <f>IFERROR(K234/F234*100,"-")</f>
        <v>-</v>
      </c>
      <c r="T234" s="44">
        <f t="shared" si="93"/>
        <v>0</v>
      </c>
    </row>
    <row r="235" spans="1:20" ht="27" hidden="1" outlineLevel="1" x14ac:dyDescent="0.25">
      <c r="A235" s="30"/>
      <c r="B235" s="55" t="s">
        <v>379</v>
      </c>
      <c r="C235" s="44">
        <f t="shared" si="96"/>
        <v>157</v>
      </c>
      <c r="D235" s="73">
        <v>84.5</v>
      </c>
      <c r="E235" s="73">
        <v>72.5</v>
      </c>
      <c r="F235" s="73">
        <v>0</v>
      </c>
      <c r="G235" s="73">
        <v>0</v>
      </c>
      <c r="H235" s="44">
        <f t="shared" si="95"/>
        <v>157</v>
      </c>
      <c r="I235" s="73">
        <v>84.5</v>
      </c>
      <c r="J235" s="73">
        <v>72.5</v>
      </c>
      <c r="K235" s="73">
        <v>0</v>
      </c>
      <c r="L235" s="73">
        <v>0</v>
      </c>
      <c r="M235" s="44">
        <f t="shared" si="79"/>
        <v>100</v>
      </c>
      <c r="N235" s="44">
        <f t="shared" si="90"/>
        <v>0</v>
      </c>
      <c r="O235" s="44">
        <f t="shared" si="80"/>
        <v>100</v>
      </c>
      <c r="P235" s="44">
        <f t="shared" si="91"/>
        <v>0</v>
      </c>
      <c r="Q235" s="44">
        <f t="shared" si="81"/>
        <v>100</v>
      </c>
      <c r="R235" s="44">
        <f t="shared" si="92"/>
        <v>0</v>
      </c>
      <c r="S235" s="44" t="str">
        <f>IFERROR(K235/F235*100,"-")</f>
        <v>-</v>
      </c>
      <c r="T235" s="44">
        <f t="shared" si="93"/>
        <v>0</v>
      </c>
    </row>
    <row r="236" spans="1:20" s="57" customFormat="1" ht="40.5" hidden="1" outlineLevel="1" x14ac:dyDescent="0.25">
      <c r="A236" s="70"/>
      <c r="B236" s="55" t="s">
        <v>409</v>
      </c>
      <c r="C236" s="44">
        <f t="shared" si="96"/>
        <v>142.80000000000001</v>
      </c>
      <c r="D236" s="73">
        <v>142.80000000000001</v>
      </c>
      <c r="E236" s="73"/>
      <c r="F236" s="73"/>
      <c r="G236" s="73"/>
      <c r="H236" s="44">
        <f t="shared" si="95"/>
        <v>142.80000000000001</v>
      </c>
      <c r="I236" s="73">
        <v>142.80000000000001</v>
      </c>
      <c r="J236" s="73"/>
      <c r="K236" s="73"/>
      <c r="L236" s="73"/>
      <c r="M236" s="44">
        <f t="shared" si="79"/>
        <v>100</v>
      </c>
      <c r="N236" s="44"/>
      <c r="O236" s="44">
        <f t="shared" si="80"/>
        <v>100</v>
      </c>
      <c r="P236" s="44">
        <f t="shared" si="91"/>
        <v>0</v>
      </c>
      <c r="Q236" s="44"/>
      <c r="R236" s="44"/>
      <c r="S236" s="44"/>
      <c r="T236" s="44"/>
    </row>
    <row r="237" spans="1:20" s="57" customFormat="1" ht="40.5" hidden="1" outlineLevel="1" x14ac:dyDescent="0.25">
      <c r="A237" s="70"/>
      <c r="B237" s="55" t="s">
        <v>280</v>
      </c>
      <c r="C237" s="44">
        <f t="shared" si="96"/>
        <v>150</v>
      </c>
      <c r="D237" s="73">
        <v>45</v>
      </c>
      <c r="E237" s="73">
        <v>105</v>
      </c>
      <c r="F237" s="73">
        <v>0</v>
      </c>
      <c r="G237" s="73">
        <v>0</v>
      </c>
      <c r="H237" s="44">
        <f t="shared" si="95"/>
        <v>150</v>
      </c>
      <c r="I237" s="73">
        <v>45</v>
      </c>
      <c r="J237" s="73">
        <v>105</v>
      </c>
      <c r="K237" s="73">
        <v>0</v>
      </c>
      <c r="L237" s="73">
        <v>0</v>
      </c>
      <c r="M237" s="44">
        <f t="shared" si="79"/>
        <v>100</v>
      </c>
      <c r="N237" s="44">
        <f t="shared" si="90"/>
        <v>0</v>
      </c>
      <c r="O237" s="44">
        <f t="shared" si="80"/>
        <v>100</v>
      </c>
      <c r="P237" s="44">
        <f t="shared" si="91"/>
        <v>0</v>
      </c>
      <c r="Q237" s="44">
        <f t="shared" si="81"/>
        <v>100</v>
      </c>
      <c r="R237" s="44">
        <f t="shared" si="92"/>
        <v>0</v>
      </c>
      <c r="S237" s="44" t="str">
        <f t="shared" ref="S237:S242" si="97">IFERROR(K237/F237*100,"-")</f>
        <v>-</v>
      </c>
      <c r="T237" s="44">
        <f t="shared" si="93"/>
        <v>0</v>
      </c>
    </row>
    <row r="238" spans="1:20" ht="54" hidden="1" outlineLevel="1" x14ac:dyDescent="0.25">
      <c r="A238" s="30"/>
      <c r="B238" s="55" t="s">
        <v>380</v>
      </c>
      <c r="C238" s="44">
        <f t="shared" si="96"/>
        <v>1192.2</v>
      </c>
      <c r="D238" s="73">
        <v>792.2</v>
      </c>
      <c r="E238" s="73">
        <v>400</v>
      </c>
      <c r="F238" s="73"/>
      <c r="G238" s="73"/>
      <c r="H238" s="44">
        <f t="shared" si="95"/>
        <v>1192.2</v>
      </c>
      <c r="I238" s="73">
        <v>792.2</v>
      </c>
      <c r="J238" s="73">
        <v>400</v>
      </c>
      <c r="K238" s="73"/>
      <c r="L238" s="73"/>
      <c r="M238" s="44">
        <f t="shared" si="79"/>
        <v>100</v>
      </c>
      <c r="N238" s="44">
        <f t="shared" si="90"/>
        <v>0</v>
      </c>
      <c r="O238" s="44">
        <f t="shared" si="80"/>
        <v>100</v>
      </c>
      <c r="P238" s="44">
        <f t="shared" si="91"/>
        <v>0</v>
      </c>
      <c r="Q238" s="44">
        <f t="shared" si="81"/>
        <v>100</v>
      </c>
      <c r="R238" s="44">
        <f t="shared" si="92"/>
        <v>0</v>
      </c>
      <c r="S238" s="44" t="str">
        <f t="shared" si="97"/>
        <v>-</v>
      </c>
      <c r="T238" s="44">
        <f t="shared" si="93"/>
        <v>0</v>
      </c>
    </row>
    <row r="239" spans="1:20" s="57" customFormat="1" ht="40.5" hidden="1" outlineLevel="1" x14ac:dyDescent="0.25">
      <c r="A239" s="70"/>
      <c r="B239" s="55" t="s">
        <v>381</v>
      </c>
      <c r="C239" s="44">
        <f t="shared" si="96"/>
        <v>48</v>
      </c>
      <c r="D239" s="73">
        <v>48</v>
      </c>
      <c r="E239" s="73"/>
      <c r="F239" s="73"/>
      <c r="G239" s="73"/>
      <c r="H239" s="44">
        <f t="shared" si="95"/>
        <v>48</v>
      </c>
      <c r="I239" s="73">
        <v>48</v>
      </c>
      <c r="J239" s="73"/>
      <c r="K239" s="73"/>
      <c r="L239" s="73"/>
      <c r="M239" s="44">
        <f t="shared" si="79"/>
        <v>100</v>
      </c>
      <c r="N239" s="44">
        <f t="shared" si="90"/>
        <v>0</v>
      </c>
      <c r="O239" s="44">
        <f t="shared" si="80"/>
        <v>100</v>
      </c>
      <c r="P239" s="44">
        <f t="shared" si="91"/>
        <v>0</v>
      </c>
      <c r="Q239" s="44" t="str">
        <f t="shared" si="81"/>
        <v>-</v>
      </c>
      <c r="R239" s="44">
        <f t="shared" si="92"/>
        <v>0</v>
      </c>
      <c r="S239" s="44" t="str">
        <f t="shared" si="97"/>
        <v>-</v>
      </c>
      <c r="T239" s="44">
        <f t="shared" si="93"/>
        <v>0</v>
      </c>
    </row>
    <row r="240" spans="1:20" ht="27" hidden="1" customHeight="1" outlineLevel="1" x14ac:dyDescent="0.25">
      <c r="A240" s="30"/>
      <c r="B240" s="55" t="s">
        <v>42</v>
      </c>
      <c r="C240" s="44">
        <f t="shared" si="96"/>
        <v>80</v>
      </c>
      <c r="D240" s="73">
        <v>80</v>
      </c>
      <c r="E240" s="73"/>
      <c r="F240" s="73"/>
      <c r="G240" s="73"/>
      <c r="H240" s="44">
        <f t="shared" si="95"/>
        <v>80</v>
      </c>
      <c r="I240" s="73">
        <v>80</v>
      </c>
      <c r="J240" s="73"/>
      <c r="K240" s="73"/>
      <c r="L240" s="73"/>
      <c r="M240" s="44">
        <f t="shared" si="79"/>
        <v>100</v>
      </c>
      <c r="N240" s="44">
        <f t="shared" si="90"/>
        <v>0</v>
      </c>
      <c r="O240" s="44">
        <f t="shared" si="80"/>
        <v>100</v>
      </c>
      <c r="P240" s="44">
        <f t="shared" si="91"/>
        <v>0</v>
      </c>
      <c r="Q240" s="44" t="str">
        <f t="shared" si="81"/>
        <v>-</v>
      </c>
      <c r="R240" s="44">
        <f t="shared" si="92"/>
        <v>0</v>
      </c>
      <c r="S240" s="44" t="str">
        <f t="shared" si="97"/>
        <v>-</v>
      </c>
      <c r="T240" s="44">
        <f t="shared" si="93"/>
        <v>0</v>
      </c>
    </row>
    <row r="241" spans="1:20" ht="27" hidden="1" customHeight="1" outlineLevel="1" x14ac:dyDescent="0.25">
      <c r="A241" s="30"/>
      <c r="B241" s="55" t="s">
        <v>664</v>
      </c>
      <c r="C241" s="44">
        <f t="shared" si="96"/>
        <v>1811</v>
      </c>
      <c r="D241" s="73">
        <v>103.7</v>
      </c>
      <c r="E241" s="73">
        <v>1707.3</v>
      </c>
      <c r="F241" s="73"/>
      <c r="G241" s="73"/>
      <c r="H241" s="44">
        <f t="shared" si="95"/>
        <v>1811</v>
      </c>
      <c r="I241" s="73">
        <v>103.7</v>
      </c>
      <c r="J241" s="73">
        <v>1707.3</v>
      </c>
      <c r="K241" s="73"/>
      <c r="L241" s="73"/>
      <c r="M241" s="44">
        <f t="shared" si="79"/>
        <v>100</v>
      </c>
      <c r="N241" s="44">
        <f t="shared" si="90"/>
        <v>0</v>
      </c>
      <c r="O241" s="44">
        <f t="shared" si="80"/>
        <v>100</v>
      </c>
      <c r="P241" s="44">
        <f t="shared" si="91"/>
        <v>0</v>
      </c>
      <c r="Q241" s="44">
        <f t="shared" si="81"/>
        <v>100</v>
      </c>
      <c r="R241" s="44">
        <f t="shared" si="92"/>
        <v>0</v>
      </c>
      <c r="S241" s="44" t="str">
        <f t="shared" si="97"/>
        <v>-</v>
      </c>
      <c r="T241" s="44">
        <f t="shared" si="93"/>
        <v>0</v>
      </c>
    </row>
    <row r="242" spans="1:20" s="62" customFormat="1" ht="74.25" customHeight="1" collapsed="1" x14ac:dyDescent="0.25">
      <c r="A242" s="48">
        <v>14</v>
      </c>
      <c r="B242" s="41" t="s">
        <v>43</v>
      </c>
      <c r="C242" s="42">
        <f>SUM(D242:F242)</f>
        <v>14782.1</v>
      </c>
      <c r="D242" s="42">
        <f>D243+D249</f>
        <v>14177.5</v>
      </c>
      <c r="E242" s="42">
        <f>E243+E249</f>
        <v>604.6</v>
      </c>
      <c r="F242" s="42">
        <f>F243+F249</f>
        <v>0</v>
      </c>
      <c r="G242" s="42">
        <f>G243+G249</f>
        <v>0</v>
      </c>
      <c r="H242" s="42">
        <f>SUM(I242:K242)</f>
        <v>14724.2</v>
      </c>
      <c r="I242" s="42">
        <f>I243+I249</f>
        <v>14119.7</v>
      </c>
      <c r="J242" s="42">
        <f>J243+J249</f>
        <v>604.5</v>
      </c>
      <c r="K242" s="42">
        <f>K243+K249</f>
        <v>0</v>
      </c>
      <c r="L242" s="42">
        <f>L243+L249</f>
        <v>0</v>
      </c>
      <c r="M242" s="42">
        <f t="shared" ref="M242:M248" si="98">IFERROR(H242/C242*100,"-")</f>
        <v>99.6</v>
      </c>
      <c r="N242" s="42">
        <f t="shared" si="90"/>
        <v>57.9</v>
      </c>
      <c r="O242" s="42">
        <f t="shared" si="80"/>
        <v>99.6</v>
      </c>
      <c r="P242" s="42">
        <f t="shared" si="91"/>
        <v>57.8</v>
      </c>
      <c r="Q242" s="42">
        <f t="shared" si="81"/>
        <v>100</v>
      </c>
      <c r="R242" s="42">
        <f t="shared" si="92"/>
        <v>0.1</v>
      </c>
      <c r="S242" s="42" t="str">
        <f t="shared" si="97"/>
        <v>-</v>
      </c>
      <c r="T242" s="42">
        <f t="shared" si="93"/>
        <v>0</v>
      </c>
    </row>
    <row r="243" spans="1:20" s="63" customFormat="1" ht="13.5" hidden="1" customHeight="1" outlineLevel="1" x14ac:dyDescent="0.25">
      <c r="A243" s="6"/>
      <c r="B243" s="58" t="s">
        <v>274</v>
      </c>
      <c r="C243" s="59">
        <f t="shared" ref="C243:C248" si="99">SUM(D243:F243)</f>
        <v>169</v>
      </c>
      <c r="D243" s="59">
        <f>D244+D247+D248</f>
        <v>169</v>
      </c>
      <c r="E243" s="59">
        <f>E244+E247+E248</f>
        <v>0</v>
      </c>
      <c r="F243" s="59">
        <f>F244+F247+F248</f>
        <v>0</v>
      </c>
      <c r="G243" s="59">
        <f>G244+G247+G248</f>
        <v>0</v>
      </c>
      <c r="H243" s="59">
        <f t="shared" ref="H243:H248" si="100">SUM(I243:K243)</f>
        <v>169</v>
      </c>
      <c r="I243" s="59">
        <f>I244+I247+I248</f>
        <v>169</v>
      </c>
      <c r="J243" s="59">
        <f>J244+J247+J248</f>
        <v>0</v>
      </c>
      <c r="K243" s="59">
        <f>K244</f>
        <v>0</v>
      </c>
      <c r="L243" s="59">
        <v>0</v>
      </c>
      <c r="M243" s="54">
        <f t="shared" si="98"/>
        <v>100</v>
      </c>
      <c r="N243" s="59">
        <f t="shared" ref="N243:N248" si="101">C243-H243</f>
        <v>0</v>
      </c>
      <c r="O243" s="59">
        <f t="shared" ref="O243:O248" si="102">IFERROR(I243/D243*100,"-")</f>
        <v>100</v>
      </c>
      <c r="P243" s="59">
        <f t="shared" ref="P243:P248" si="103">D243-I243</f>
        <v>0</v>
      </c>
      <c r="Q243" s="59" t="str">
        <f t="shared" ref="Q243:Q248" si="104">IFERROR(J243/E243*100,"-")</f>
        <v>-</v>
      </c>
      <c r="R243" s="59">
        <f t="shared" ref="R243:R248" si="105">E243-J243</f>
        <v>0</v>
      </c>
      <c r="S243" s="59" t="str">
        <f t="shared" ref="S243:S248" si="106">IFERROR(K243/F243*100,"-")</f>
        <v>-</v>
      </c>
      <c r="T243" s="59">
        <f t="shared" ref="T243:T248" si="107">F243-K243</f>
        <v>0</v>
      </c>
    </row>
    <row r="244" spans="1:20" ht="40.5" hidden="1" customHeight="1" outlineLevel="2" x14ac:dyDescent="0.25">
      <c r="A244" s="37"/>
      <c r="B244" s="53" t="s">
        <v>476</v>
      </c>
      <c r="C244" s="44">
        <f>SUM(D244:F244)</f>
        <v>169</v>
      </c>
      <c r="D244" s="44">
        <f>D245+D246</f>
        <v>169</v>
      </c>
      <c r="E244" s="44">
        <f>E245+E246</f>
        <v>0</v>
      </c>
      <c r="F244" s="44">
        <f>F245+F246</f>
        <v>0</v>
      </c>
      <c r="G244" s="44">
        <f>G245+G246</f>
        <v>0</v>
      </c>
      <c r="H244" s="44">
        <f t="shared" si="100"/>
        <v>169</v>
      </c>
      <c r="I244" s="44">
        <f>I245+I246</f>
        <v>169</v>
      </c>
      <c r="J244" s="44">
        <f>J245+J246</f>
        <v>0</v>
      </c>
      <c r="K244" s="44">
        <f>K245+K246</f>
        <v>0</v>
      </c>
      <c r="L244" s="44">
        <f>L245+L246</f>
        <v>0</v>
      </c>
      <c r="M244" s="54">
        <f t="shared" si="98"/>
        <v>100</v>
      </c>
      <c r="N244" s="44">
        <f t="shared" si="101"/>
        <v>0</v>
      </c>
      <c r="O244" s="44">
        <f t="shared" si="102"/>
        <v>100</v>
      </c>
      <c r="P244" s="44">
        <f t="shared" si="103"/>
        <v>0</v>
      </c>
      <c r="Q244" s="44" t="str">
        <f t="shared" si="104"/>
        <v>-</v>
      </c>
      <c r="R244" s="44">
        <f t="shared" si="105"/>
        <v>0</v>
      </c>
      <c r="S244" s="44" t="str">
        <f t="shared" si="106"/>
        <v>-</v>
      </c>
      <c r="T244" s="44">
        <f t="shared" si="107"/>
        <v>0</v>
      </c>
    </row>
    <row r="245" spans="1:20" ht="13.5" hidden="1" customHeight="1" outlineLevel="3" x14ac:dyDescent="0.25">
      <c r="A245" s="37"/>
      <c r="B245" s="55" t="s">
        <v>474</v>
      </c>
      <c r="C245" s="44">
        <f t="shared" si="99"/>
        <v>159.19999999999999</v>
      </c>
      <c r="D245" s="44">
        <v>159.19999999999999</v>
      </c>
      <c r="E245" s="44">
        <v>0</v>
      </c>
      <c r="F245" s="44">
        <v>0</v>
      </c>
      <c r="G245" s="44">
        <v>0</v>
      </c>
      <c r="H245" s="44">
        <f t="shared" si="100"/>
        <v>159.19999999999999</v>
      </c>
      <c r="I245" s="44">
        <v>159.19999999999999</v>
      </c>
      <c r="J245" s="44">
        <v>0</v>
      </c>
      <c r="K245" s="44">
        <v>0</v>
      </c>
      <c r="L245" s="44">
        <v>0</v>
      </c>
      <c r="M245" s="54">
        <f t="shared" si="98"/>
        <v>100</v>
      </c>
      <c r="N245" s="44">
        <f t="shared" si="101"/>
        <v>0</v>
      </c>
      <c r="O245" s="44">
        <f t="shared" si="102"/>
        <v>100</v>
      </c>
      <c r="P245" s="44">
        <f t="shared" si="103"/>
        <v>0</v>
      </c>
      <c r="Q245" s="44" t="str">
        <f t="shared" si="104"/>
        <v>-</v>
      </c>
      <c r="R245" s="44">
        <f t="shared" si="105"/>
        <v>0</v>
      </c>
      <c r="S245" s="44" t="str">
        <f t="shared" si="106"/>
        <v>-</v>
      </c>
      <c r="T245" s="44">
        <f t="shared" si="107"/>
        <v>0</v>
      </c>
    </row>
    <row r="246" spans="1:20" ht="40.5" hidden="1" outlineLevel="3" x14ac:dyDescent="0.25">
      <c r="A246" s="37"/>
      <c r="B246" s="55" t="s">
        <v>475</v>
      </c>
      <c r="C246" s="44">
        <f t="shared" si="99"/>
        <v>9.8000000000000007</v>
      </c>
      <c r="D246" s="44">
        <v>9.8000000000000007</v>
      </c>
      <c r="E246" s="44">
        <v>0</v>
      </c>
      <c r="F246" s="44">
        <v>0</v>
      </c>
      <c r="G246" s="44">
        <v>0</v>
      </c>
      <c r="H246" s="44">
        <f t="shared" si="100"/>
        <v>9.8000000000000007</v>
      </c>
      <c r="I246" s="44">
        <v>9.8000000000000007</v>
      </c>
      <c r="J246" s="44">
        <v>0</v>
      </c>
      <c r="K246" s="44">
        <v>0</v>
      </c>
      <c r="L246" s="44">
        <v>0</v>
      </c>
      <c r="M246" s="54">
        <f t="shared" si="98"/>
        <v>100</v>
      </c>
      <c r="N246" s="44">
        <f t="shared" si="101"/>
        <v>0</v>
      </c>
      <c r="O246" s="44">
        <f t="shared" si="102"/>
        <v>100</v>
      </c>
      <c r="P246" s="44">
        <f t="shared" si="103"/>
        <v>0</v>
      </c>
      <c r="Q246" s="44" t="str">
        <f t="shared" si="104"/>
        <v>-</v>
      </c>
      <c r="R246" s="44">
        <f t="shared" si="105"/>
        <v>0</v>
      </c>
      <c r="S246" s="44" t="str">
        <f t="shared" si="106"/>
        <v>-</v>
      </c>
      <c r="T246" s="44">
        <f t="shared" si="107"/>
        <v>0</v>
      </c>
    </row>
    <row r="247" spans="1:20" ht="40.5" hidden="1" outlineLevel="2" x14ac:dyDescent="0.25">
      <c r="A247" s="37"/>
      <c r="B247" s="53" t="s">
        <v>477</v>
      </c>
      <c r="C247" s="44">
        <f t="shared" si="99"/>
        <v>0</v>
      </c>
      <c r="D247" s="44">
        <v>0</v>
      </c>
      <c r="E247" s="44">
        <v>0</v>
      </c>
      <c r="F247" s="44">
        <v>0</v>
      </c>
      <c r="G247" s="44">
        <v>0</v>
      </c>
      <c r="H247" s="44">
        <f t="shared" si="100"/>
        <v>0</v>
      </c>
      <c r="I247" s="44">
        <v>0</v>
      </c>
      <c r="J247" s="44">
        <v>0</v>
      </c>
      <c r="K247" s="44">
        <v>0</v>
      </c>
      <c r="L247" s="44">
        <v>0</v>
      </c>
      <c r="M247" s="54" t="str">
        <f t="shared" si="98"/>
        <v>-</v>
      </c>
      <c r="N247" s="44">
        <f t="shared" si="101"/>
        <v>0</v>
      </c>
      <c r="O247" s="44" t="str">
        <f t="shared" si="102"/>
        <v>-</v>
      </c>
      <c r="P247" s="44">
        <f t="shared" si="103"/>
        <v>0</v>
      </c>
      <c r="Q247" s="44" t="str">
        <f t="shared" si="104"/>
        <v>-</v>
      </c>
      <c r="R247" s="44">
        <f t="shared" si="105"/>
        <v>0</v>
      </c>
      <c r="S247" s="44" t="str">
        <f t="shared" si="106"/>
        <v>-</v>
      </c>
      <c r="T247" s="44">
        <f t="shared" si="107"/>
        <v>0</v>
      </c>
    </row>
    <row r="248" spans="1:20" s="57" customFormat="1" ht="40.5" hidden="1" customHeight="1" outlineLevel="2" x14ac:dyDescent="0.25">
      <c r="A248" s="56"/>
      <c r="B248" s="46" t="s">
        <v>478</v>
      </c>
      <c r="C248" s="44">
        <f t="shared" si="99"/>
        <v>0</v>
      </c>
      <c r="D248" s="44">
        <v>0</v>
      </c>
      <c r="E248" s="44"/>
      <c r="F248" s="44"/>
      <c r="G248" s="44"/>
      <c r="H248" s="44">
        <f t="shared" si="100"/>
        <v>0</v>
      </c>
      <c r="I248" s="44">
        <v>0</v>
      </c>
      <c r="J248" s="44"/>
      <c r="K248" s="44"/>
      <c r="L248" s="44"/>
      <c r="M248" s="54" t="str">
        <f t="shared" si="98"/>
        <v>-</v>
      </c>
      <c r="N248" s="44">
        <f t="shared" si="101"/>
        <v>0</v>
      </c>
      <c r="O248" s="44" t="str">
        <f t="shared" si="102"/>
        <v>-</v>
      </c>
      <c r="P248" s="44">
        <f t="shared" si="103"/>
        <v>0</v>
      </c>
      <c r="Q248" s="44" t="str">
        <f t="shared" si="104"/>
        <v>-</v>
      </c>
      <c r="R248" s="44">
        <f t="shared" si="105"/>
        <v>0</v>
      </c>
      <c r="S248" s="44" t="str">
        <f t="shared" si="106"/>
        <v>-</v>
      </c>
      <c r="T248" s="44">
        <f t="shared" si="107"/>
        <v>0</v>
      </c>
    </row>
    <row r="249" spans="1:20" s="57" customFormat="1" ht="67.5" hidden="1" customHeight="1" outlineLevel="1" x14ac:dyDescent="0.25">
      <c r="A249" s="6"/>
      <c r="B249" s="58" t="s">
        <v>44</v>
      </c>
      <c r="C249" s="59">
        <f>SUM(D249:F249)</f>
        <v>14613.1</v>
      </c>
      <c r="D249" s="59">
        <f>SUM(D250:D256)</f>
        <v>14008.5</v>
      </c>
      <c r="E249" s="59">
        <f>SUM(E250:E256)</f>
        <v>604.6</v>
      </c>
      <c r="F249" s="59">
        <f>SUM(F250:F255)</f>
        <v>0</v>
      </c>
      <c r="G249" s="59">
        <f>SUM(G250:G255)</f>
        <v>0</v>
      </c>
      <c r="H249" s="59">
        <f t="shared" si="95"/>
        <v>14555.2</v>
      </c>
      <c r="I249" s="59">
        <f>SUM(I250:I256)</f>
        <v>13950.7</v>
      </c>
      <c r="J249" s="59">
        <f>SUM(J250:J256)</f>
        <v>604.5</v>
      </c>
      <c r="K249" s="59">
        <f>SUM(K250:K255)</f>
        <v>0</v>
      </c>
      <c r="L249" s="59">
        <f>SUM(L250:L255)</f>
        <v>0</v>
      </c>
      <c r="M249" s="59">
        <f t="shared" si="79"/>
        <v>99.6</v>
      </c>
      <c r="N249" s="59">
        <f t="shared" si="90"/>
        <v>57.9</v>
      </c>
      <c r="O249" s="59">
        <f t="shared" si="80"/>
        <v>99.6</v>
      </c>
      <c r="P249" s="59">
        <f>D249-I249</f>
        <v>57.8</v>
      </c>
      <c r="Q249" s="59">
        <f t="shared" si="81"/>
        <v>100</v>
      </c>
      <c r="R249" s="59">
        <f t="shared" si="92"/>
        <v>0.1</v>
      </c>
      <c r="S249" s="59" t="str">
        <f>IFERROR(K249/F249*100,"-")</f>
        <v>-</v>
      </c>
      <c r="T249" s="59">
        <f t="shared" si="93"/>
        <v>0</v>
      </c>
    </row>
    <row r="250" spans="1:20" s="57" customFormat="1" ht="54" hidden="1" customHeight="1" outlineLevel="2" x14ac:dyDescent="0.25">
      <c r="A250" s="60"/>
      <c r="B250" s="53" t="s">
        <v>479</v>
      </c>
      <c r="C250" s="44">
        <f t="shared" si="94"/>
        <v>477</v>
      </c>
      <c r="D250" s="44">
        <v>477</v>
      </c>
      <c r="E250" s="44">
        <v>0</v>
      </c>
      <c r="F250" s="44">
        <v>0</v>
      </c>
      <c r="G250" s="44">
        <v>0</v>
      </c>
      <c r="H250" s="44">
        <f t="shared" si="95"/>
        <v>477</v>
      </c>
      <c r="I250" s="44">
        <v>477</v>
      </c>
      <c r="J250" s="44">
        <v>0</v>
      </c>
      <c r="K250" s="44">
        <v>0</v>
      </c>
      <c r="L250" s="44">
        <v>0</v>
      </c>
      <c r="M250" s="44">
        <f t="shared" si="79"/>
        <v>100</v>
      </c>
      <c r="N250" s="44">
        <f t="shared" si="90"/>
        <v>0</v>
      </c>
      <c r="O250" s="44">
        <f t="shared" si="80"/>
        <v>100</v>
      </c>
      <c r="P250" s="44">
        <f t="shared" si="91"/>
        <v>0</v>
      </c>
      <c r="Q250" s="44" t="str">
        <f t="shared" si="81"/>
        <v>-</v>
      </c>
      <c r="R250" s="44">
        <f t="shared" si="92"/>
        <v>0</v>
      </c>
      <c r="S250" s="44" t="str">
        <f>IFERROR(K250/F250*100,"-")</f>
        <v>-</v>
      </c>
      <c r="T250" s="44">
        <f t="shared" si="93"/>
        <v>0</v>
      </c>
    </row>
    <row r="251" spans="1:20" ht="54" hidden="1" outlineLevel="2" x14ac:dyDescent="0.25">
      <c r="A251" s="31"/>
      <c r="B251" s="53" t="s">
        <v>480</v>
      </c>
      <c r="C251" s="44">
        <f t="shared" si="94"/>
        <v>559.4</v>
      </c>
      <c r="D251" s="44">
        <v>559.4</v>
      </c>
      <c r="E251" s="44">
        <v>0</v>
      </c>
      <c r="F251" s="44">
        <v>0</v>
      </c>
      <c r="G251" s="44">
        <v>0</v>
      </c>
      <c r="H251" s="44">
        <f t="shared" si="95"/>
        <v>559.4</v>
      </c>
      <c r="I251" s="44">
        <v>559.4</v>
      </c>
      <c r="J251" s="44">
        <v>0</v>
      </c>
      <c r="K251" s="44">
        <v>0</v>
      </c>
      <c r="L251" s="44">
        <v>0</v>
      </c>
      <c r="M251" s="44">
        <f t="shared" si="79"/>
        <v>100</v>
      </c>
      <c r="N251" s="44">
        <f t="shared" si="90"/>
        <v>0</v>
      </c>
      <c r="O251" s="44">
        <f t="shared" si="80"/>
        <v>100</v>
      </c>
      <c r="P251" s="44">
        <f t="shared" si="91"/>
        <v>0</v>
      </c>
      <c r="Q251" s="44" t="str">
        <f t="shared" si="81"/>
        <v>-</v>
      </c>
      <c r="R251" s="44">
        <f t="shared" si="92"/>
        <v>0</v>
      </c>
      <c r="S251" s="44" t="str">
        <f>IFERROR(K251/F251*100,"-")</f>
        <v>-</v>
      </c>
      <c r="T251" s="44">
        <f t="shared" si="93"/>
        <v>0</v>
      </c>
    </row>
    <row r="252" spans="1:20" s="57" customFormat="1" ht="27" hidden="1" customHeight="1" outlineLevel="2" x14ac:dyDescent="0.25">
      <c r="A252" s="60"/>
      <c r="B252" s="53" t="s">
        <v>481</v>
      </c>
      <c r="C252" s="44">
        <f t="shared" si="94"/>
        <v>191.6</v>
      </c>
      <c r="D252" s="44">
        <v>191.6</v>
      </c>
      <c r="E252" s="44">
        <v>0</v>
      </c>
      <c r="F252" s="44">
        <v>0</v>
      </c>
      <c r="G252" s="44">
        <v>0</v>
      </c>
      <c r="H252" s="44">
        <f t="shared" si="95"/>
        <v>191.6</v>
      </c>
      <c r="I252" s="44">
        <v>191.6</v>
      </c>
      <c r="J252" s="44">
        <v>0</v>
      </c>
      <c r="K252" s="44">
        <v>0</v>
      </c>
      <c r="L252" s="44">
        <v>0</v>
      </c>
      <c r="M252" s="44">
        <f t="shared" si="79"/>
        <v>100</v>
      </c>
      <c r="N252" s="44">
        <f t="shared" si="90"/>
        <v>0</v>
      </c>
      <c r="O252" s="44">
        <f t="shared" si="80"/>
        <v>100</v>
      </c>
      <c r="P252" s="44">
        <f t="shared" si="91"/>
        <v>0</v>
      </c>
      <c r="Q252" s="44" t="str">
        <f t="shared" si="81"/>
        <v>-</v>
      </c>
      <c r="R252" s="44">
        <f t="shared" si="92"/>
        <v>0</v>
      </c>
      <c r="S252" s="44" t="str">
        <f>IFERROR(K252/F252*100,"-")</f>
        <v>-</v>
      </c>
      <c r="T252" s="44">
        <f t="shared" si="93"/>
        <v>0</v>
      </c>
    </row>
    <row r="253" spans="1:20" s="57" customFormat="1" ht="27" hidden="1" customHeight="1" outlineLevel="2" x14ac:dyDescent="0.25">
      <c r="A253" s="60"/>
      <c r="B253" s="61" t="s">
        <v>482</v>
      </c>
      <c r="C253" s="44">
        <v>0</v>
      </c>
      <c r="D253" s="44">
        <v>0</v>
      </c>
      <c r="E253" s="44">
        <v>0</v>
      </c>
      <c r="F253" s="44">
        <v>0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4">
        <v>0</v>
      </c>
      <c r="O253" s="44">
        <v>0</v>
      </c>
      <c r="P253" s="44">
        <v>0</v>
      </c>
      <c r="Q253" s="44">
        <v>0</v>
      </c>
      <c r="R253" s="44">
        <v>0</v>
      </c>
      <c r="S253" s="44">
        <v>0</v>
      </c>
      <c r="T253" s="44">
        <v>0</v>
      </c>
    </row>
    <row r="254" spans="1:20" s="57" customFormat="1" ht="40.5" hidden="1" customHeight="1" outlineLevel="2" x14ac:dyDescent="0.25">
      <c r="A254" s="60"/>
      <c r="B254" s="46" t="s">
        <v>483</v>
      </c>
      <c r="C254" s="44">
        <f t="shared" si="94"/>
        <v>12780.5</v>
      </c>
      <c r="D254" s="44">
        <v>12780.5</v>
      </c>
      <c r="E254" s="44">
        <v>0</v>
      </c>
      <c r="F254" s="44">
        <v>0</v>
      </c>
      <c r="G254" s="44">
        <v>0</v>
      </c>
      <c r="H254" s="44">
        <f t="shared" si="95"/>
        <v>12722.7</v>
      </c>
      <c r="I254" s="44">
        <v>12722.7</v>
      </c>
      <c r="J254" s="44">
        <v>0</v>
      </c>
      <c r="K254" s="44">
        <v>0</v>
      </c>
      <c r="L254" s="44">
        <v>0</v>
      </c>
      <c r="M254" s="44">
        <f t="shared" si="79"/>
        <v>99.5</v>
      </c>
      <c r="N254" s="44">
        <f t="shared" si="90"/>
        <v>57.8</v>
      </c>
      <c r="O254" s="44">
        <f t="shared" si="80"/>
        <v>99.5</v>
      </c>
      <c r="P254" s="44">
        <f t="shared" si="91"/>
        <v>57.8</v>
      </c>
      <c r="Q254" s="44" t="str">
        <f t="shared" si="81"/>
        <v>-</v>
      </c>
      <c r="R254" s="44">
        <f t="shared" si="92"/>
        <v>0</v>
      </c>
      <c r="S254" s="44" t="str">
        <f>IFERROR(K254/F254*100,"-")</f>
        <v>-</v>
      </c>
      <c r="T254" s="44">
        <f t="shared" si="93"/>
        <v>0</v>
      </c>
    </row>
    <row r="255" spans="1:20" s="57" customFormat="1" ht="27" hidden="1" customHeight="1" outlineLevel="2" x14ac:dyDescent="0.25">
      <c r="A255" s="60"/>
      <c r="B255" s="46" t="s">
        <v>484</v>
      </c>
      <c r="C255" s="44">
        <f t="shared" si="94"/>
        <v>0</v>
      </c>
      <c r="D255" s="44">
        <v>0</v>
      </c>
      <c r="E255" s="44">
        <v>0</v>
      </c>
      <c r="F255" s="44">
        <v>0</v>
      </c>
      <c r="G255" s="44">
        <v>0</v>
      </c>
      <c r="H255" s="44">
        <f t="shared" si="95"/>
        <v>0</v>
      </c>
      <c r="I255" s="44">
        <v>0</v>
      </c>
      <c r="J255" s="44">
        <v>0</v>
      </c>
      <c r="K255" s="44">
        <v>0</v>
      </c>
      <c r="L255" s="44">
        <v>0</v>
      </c>
      <c r="M255" s="44" t="str">
        <f t="shared" si="79"/>
        <v>-</v>
      </c>
      <c r="N255" s="44">
        <f t="shared" si="90"/>
        <v>0</v>
      </c>
      <c r="O255" s="44" t="str">
        <f t="shared" si="80"/>
        <v>-</v>
      </c>
      <c r="P255" s="44">
        <f t="shared" si="91"/>
        <v>0</v>
      </c>
      <c r="Q255" s="44" t="str">
        <f t="shared" si="81"/>
        <v>-</v>
      </c>
      <c r="R255" s="44">
        <f t="shared" si="92"/>
        <v>0</v>
      </c>
      <c r="S255" s="44" t="str">
        <f>IFERROR(K255/F255*100,"-")</f>
        <v>-</v>
      </c>
      <c r="T255" s="44">
        <f t="shared" si="93"/>
        <v>0</v>
      </c>
    </row>
    <row r="256" spans="1:20" s="57" customFormat="1" ht="27" hidden="1" customHeight="1" outlineLevel="2" x14ac:dyDescent="0.25">
      <c r="A256" s="60"/>
      <c r="B256" s="46" t="s">
        <v>485</v>
      </c>
      <c r="C256" s="44">
        <f t="shared" si="94"/>
        <v>604.6</v>
      </c>
      <c r="D256" s="44">
        <v>0</v>
      </c>
      <c r="E256" s="44">
        <v>604.6</v>
      </c>
      <c r="F256" s="44"/>
      <c r="G256" s="44"/>
      <c r="H256" s="44">
        <f t="shared" si="95"/>
        <v>604.5</v>
      </c>
      <c r="I256" s="44">
        <v>0</v>
      </c>
      <c r="J256" s="44">
        <v>604.5</v>
      </c>
      <c r="K256" s="44">
        <v>0</v>
      </c>
      <c r="L256" s="44">
        <v>0</v>
      </c>
      <c r="M256" s="44">
        <f t="shared" si="79"/>
        <v>100</v>
      </c>
      <c r="N256" s="44">
        <f t="shared" si="90"/>
        <v>0.1</v>
      </c>
      <c r="O256" s="44" t="str">
        <f t="shared" si="80"/>
        <v>-</v>
      </c>
      <c r="P256" s="44">
        <f t="shared" si="91"/>
        <v>0</v>
      </c>
      <c r="Q256" s="44">
        <f t="shared" si="81"/>
        <v>100</v>
      </c>
      <c r="R256" s="44">
        <f t="shared" si="92"/>
        <v>0.1</v>
      </c>
      <c r="S256" s="44" t="str">
        <f>IFERROR(K256/F256*100,"-")</f>
        <v>-</v>
      </c>
      <c r="T256" s="44">
        <f t="shared" si="93"/>
        <v>0</v>
      </c>
    </row>
    <row r="257" spans="1:20" s="23" customFormat="1" ht="30.75" customHeight="1" collapsed="1" x14ac:dyDescent="0.25">
      <c r="A257" s="48">
        <v>15</v>
      </c>
      <c r="B257" s="41" t="s">
        <v>66</v>
      </c>
      <c r="C257" s="42">
        <f>SUM(D257:F257)</f>
        <v>10336.799999999999</v>
      </c>
      <c r="D257" s="42">
        <f>D258+D260</f>
        <v>9669.2999999999993</v>
      </c>
      <c r="E257" s="42">
        <f>E258+E260</f>
        <v>667.5</v>
      </c>
      <c r="F257" s="42">
        <f>F258+F260</f>
        <v>0</v>
      </c>
      <c r="G257" s="42">
        <f>SUM(G258:G268)</f>
        <v>0</v>
      </c>
      <c r="H257" s="42">
        <f>SUM(I257:K257)</f>
        <v>10323.299999999999</v>
      </c>
      <c r="I257" s="42">
        <f>I258+I260</f>
        <v>9655.7999999999993</v>
      </c>
      <c r="J257" s="42">
        <f>J258+J260</f>
        <v>667.5</v>
      </c>
      <c r="K257" s="42">
        <f>K258+K260</f>
        <v>0</v>
      </c>
      <c r="L257" s="42">
        <f>SUM(L258:L268)</f>
        <v>0</v>
      </c>
      <c r="M257" s="42">
        <f t="shared" si="79"/>
        <v>99.9</v>
      </c>
      <c r="N257" s="42">
        <f t="shared" si="90"/>
        <v>13.5</v>
      </c>
      <c r="O257" s="42">
        <f t="shared" si="80"/>
        <v>99.9</v>
      </c>
      <c r="P257" s="42">
        <f t="shared" si="91"/>
        <v>13.5</v>
      </c>
      <c r="Q257" s="42">
        <f t="shared" si="81"/>
        <v>100</v>
      </c>
      <c r="R257" s="42">
        <f>E257-J257</f>
        <v>0</v>
      </c>
      <c r="S257" s="42" t="str">
        <f>IFERROR(K257/F257*100,"-")</f>
        <v>-</v>
      </c>
      <c r="T257" s="42">
        <f t="shared" si="93"/>
        <v>0</v>
      </c>
    </row>
    <row r="258" spans="1:20" ht="40.5" hidden="1" outlineLevel="1" x14ac:dyDescent="0.25">
      <c r="A258" s="6"/>
      <c r="B258" s="46" t="s">
        <v>497</v>
      </c>
      <c r="C258" s="44">
        <f>SUM(D258:F258)</f>
        <v>7476.7</v>
      </c>
      <c r="D258" s="44">
        <f>SUM(D259:D259)</f>
        <v>7349.2</v>
      </c>
      <c r="E258" s="44">
        <f>SUM(E259:E259)</f>
        <v>127.5</v>
      </c>
      <c r="F258" s="44">
        <f>SUM(F259:F259)</f>
        <v>0</v>
      </c>
      <c r="G258" s="44">
        <f>SUM(G259:G259)</f>
        <v>0</v>
      </c>
      <c r="H258" s="73">
        <f t="shared" si="95"/>
        <v>7466.6</v>
      </c>
      <c r="I258" s="44">
        <f>SUM(I259:I259)</f>
        <v>7339.1</v>
      </c>
      <c r="J258" s="44">
        <f>SUM(J259:J259)</f>
        <v>127.5</v>
      </c>
      <c r="K258" s="44">
        <f>SUM(K259:K259)</f>
        <v>0</v>
      </c>
      <c r="L258" s="44">
        <f>SUM(L259:L259)</f>
        <v>0</v>
      </c>
      <c r="M258" s="44">
        <f t="shared" ref="M258:M306" si="108">IFERROR(H258/C258*100,"-")</f>
        <v>99.9</v>
      </c>
      <c r="N258" s="44">
        <f t="shared" si="90"/>
        <v>10.1</v>
      </c>
      <c r="O258" s="72">
        <f t="shared" ref="O258:O306" si="109">IFERROR(I258/D258*100,"-")</f>
        <v>99.9</v>
      </c>
      <c r="P258" s="72">
        <f t="shared" si="91"/>
        <v>10.1</v>
      </c>
      <c r="Q258" s="72">
        <f t="shared" ref="Q258:Q306" si="110">IFERROR(J258/E258*100,"-")</f>
        <v>100</v>
      </c>
      <c r="R258" s="72">
        <f t="shared" si="92"/>
        <v>0</v>
      </c>
      <c r="S258" s="72" t="str">
        <f t="shared" ref="S258:S306" si="111">IFERROR(K258/F258*100,"-")</f>
        <v>-</v>
      </c>
      <c r="T258" s="44">
        <f t="shared" si="93"/>
        <v>0</v>
      </c>
    </row>
    <row r="259" spans="1:20" ht="54" hidden="1" outlineLevel="2" x14ac:dyDescent="0.25">
      <c r="A259" s="74"/>
      <c r="B259" s="55" t="s">
        <v>382</v>
      </c>
      <c r="C259" s="44">
        <f t="shared" si="94"/>
        <v>7476.7</v>
      </c>
      <c r="D259" s="44">
        <f>194+2293.015+160.17+2139.146+193.97+2368.913</f>
        <v>7349.2</v>
      </c>
      <c r="E259" s="44">
        <v>127.5</v>
      </c>
      <c r="F259" s="44">
        <v>0</v>
      </c>
      <c r="G259" s="44">
        <v>0</v>
      </c>
      <c r="H259" s="44">
        <f t="shared" si="95"/>
        <v>7466.6</v>
      </c>
      <c r="I259" s="44">
        <f>4780.16196+2558.913</f>
        <v>7339.1</v>
      </c>
      <c r="J259" s="44">
        <v>127.5</v>
      </c>
      <c r="K259" s="44">
        <v>0</v>
      </c>
      <c r="L259" s="44"/>
      <c r="M259" s="44">
        <f t="shared" si="108"/>
        <v>99.9</v>
      </c>
      <c r="N259" s="44">
        <f t="shared" si="90"/>
        <v>10.1</v>
      </c>
      <c r="O259" s="72">
        <f t="shared" si="109"/>
        <v>99.9</v>
      </c>
      <c r="P259" s="72">
        <f t="shared" si="91"/>
        <v>10.1</v>
      </c>
      <c r="Q259" s="72">
        <f t="shared" si="110"/>
        <v>100</v>
      </c>
      <c r="R259" s="72">
        <f t="shared" si="92"/>
        <v>0</v>
      </c>
      <c r="S259" s="72" t="str">
        <f t="shared" si="111"/>
        <v>-</v>
      </c>
      <c r="T259" s="44">
        <f t="shared" si="93"/>
        <v>0</v>
      </c>
    </row>
    <row r="260" spans="1:20" ht="40.5" hidden="1" customHeight="1" outlineLevel="1" x14ac:dyDescent="0.25">
      <c r="A260" s="49"/>
      <c r="B260" s="46" t="s">
        <v>500</v>
      </c>
      <c r="C260" s="44">
        <f>SUM(D260:F260)</f>
        <v>2860.1</v>
      </c>
      <c r="D260" s="44">
        <f>SUM(D261:D268)</f>
        <v>2320.1</v>
      </c>
      <c r="E260" s="44">
        <f>SUM(E261:E268)</f>
        <v>540</v>
      </c>
      <c r="F260" s="44">
        <f>SUM(F261:F268)</f>
        <v>0</v>
      </c>
      <c r="G260" s="44">
        <v>0</v>
      </c>
      <c r="H260" s="44">
        <f>SUM(I260:K260)</f>
        <v>2856.7</v>
      </c>
      <c r="I260" s="44">
        <f>SUM(I261:I268)</f>
        <v>2316.6999999999998</v>
      </c>
      <c r="J260" s="44">
        <f>SUM(J261:J268)</f>
        <v>540</v>
      </c>
      <c r="K260" s="44">
        <f>SUM(K261:K268)</f>
        <v>0</v>
      </c>
      <c r="L260" s="44">
        <v>0</v>
      </c>
      <c r="M260" s="44">
        <f t="shared" si="108"/>
        <v>99.9</v>
      </c>
      <c r="N260" s="44">
        <f>C260-H260</f>
        <v>3.4</v>
      </c>
      <c r="O260" s="72">
        <f t="shared" si="109"/>
        <v>99.9</v>
      </c>
      <c r="P260" s="72">
        <f t="shared" si="91"/>
        <v>3.4</v>
      </c>
      <c r="Q260" s="72">
        <f t="shared" si="110"/>
        <v>100</v>
      </c>
      <c r="R260" s="72">
        <f t="shared" si="92"/>
        <v>0</v>
      </c>
      <c r="S260" s="72" t="str">
        <f t="shared" si="111"/>
        <v>-</v>
      </c>
      <c r="T260" s="44">
        <f t="shared" si="93"/>
        <v>0</v>
      </c>
    </row>
    <row r="261" spans="1:20" ht="27" hidden="1" customHeight="1" outlineLevel="2" x14ac:dyDescent="0.25">
      <c r="A261" s="6"/>
      <c r="B261" s="55" t="s">
        <v>498</v>
      </c>
      <c r="C261" s="44">
        <f t="shared" si="94"/>
        <v>1039.5999999999999</v>
      </c>
      <c r="D261" s="44">
        <v>553.6</v>
      </c>
      <c r="E261" s="44">
        <v>486</v>
      </c>
      <c r="F261" s="44">
        <v>0</v>
      </c>
      <c r="G261" s="44">
        <v>0</v>
      </c>
      <c r="H261" s="45">
        <f t="shared" si="95"/>
        <v>1039.5999999999999</v>
      </c>
      <c r="I261" s="44">
        <v>553.6</v>
      </c>
      <c r="J261" s="44">
        <v>486</v>
      </c>
      <c r="K261" s="44">
        <v>0</v>
      </c>
      <c r="L261" s="44">
        <v>0</v>
      </c>
      <c r="M261" s="44">
        <f t="shared" si="108"/>
        <v>100</v>
      </c>
      <c r="N261" s="44">
        <f t="shared" si="90"/>
        <v>0</v>
      </c>
      <c r="O261" s="72">
        <f t="shared" si="109"/>
        <v>100</v>
      </c>
      <c r="P261" s="72">
        <f t="shared" si="91"/>
        <v>0</v>
      </c>
      <c r="Q261" s="72">
        <f t="shared" si="110"/>
        <v>100</v>
      </c>
      <c r="R261" s="72">
        <f t="shared" si="92"/>
        <v>0</v>
      </c>
      <c r="S261" s="72" t="str">
        <f t="shared" si="111"/>
        <v>-</v>
      </c>
      <c r="T261" s="44">
        <f t="shared" si="93"/>
        <v>0</v>
      </c>
    </row>
    <row r="262" spans="1:20" ht="54" hidden="1" customHeight="1" outlineLevel="2" x14ac:dyDescent="0.25">
      <c r="A262" s="6"/>
      <c r="B262" s="55" t="s">
        <v>329</v>
      </c>
      <c r="C262" s="44">
        <f t="shared" si="94"/>
        <v>541.6</v>
      </c>
      <c r="D262" s="44">
        <f>541.584</f>
        <v>541.6</v>
      </c>
      <c r="E262" s="44">
        <v>0</v>
      </c>
      <c r="F262" s="44">
        <v>0</v>
      </c>
      <c r="G262" s="44">
        <v>0</v>
      </c>
      <c r="H262" s="45">
        <f t="shared" si="95"/>
        <v>538.20000000000005</v>
      </c>
      <c r="I262" s="44">
        <f>538.22</f>
        <v>538.20000000000005</v>
      </c>
      <c r="J262" s="44">
        <v>0</v>
      </c>
      <c r="K262" s="44">
        <v>0</v>
      </c>
      <c r="L262" s="44">
        <v>0</v>
      </c>
      <c r="M262" s="44">
        <f t="shared" si="108"/>
        <v>99.4</v>
      </c>
      <c r="N262" s="44">
        <f t="shared" si="90"/>
        <v>3.4</v>
      </c>
      <c r="O262" s="44">
        <f t="shared" si="109"/>
        <v>99.4</v>
      </c>
      <c r="P262" s="44">
        <f t="shared" si="91"/>
        <v>3.4</v>
      </c>
      <c r="Q262" s="44" t="str">
        <f t="shared" si="110"/>
        <v>-</v>
      </c>
      <c r="R262" s="44">
        <f t="shared" si="92"/>
        <v>0</v>
      </c>
      <c r="S262" s="44" t="str">
        <f t="shared" si="111"/>
        <v>-</v>
      </c>
      <c r="T262" s="44">
        <f t="shared" si="93"/>
        <v>0</v>
      </c>
    </row>
    <row r="263" spans="1:20" ht="67.5" hidden="1" customHeight="1" outlineLevel="2" x14ac:dyDescent="0.25">
      <c r="A263" s="6"/>
      <c r="B263" s="55" t="s">
        <v>383</v>
      </c>
      <c r="C263" s="44">
        <f t="shared" si="94"/>
        <v>11.6</v>
      </c>
      <c r="D263" s="44">
        <f>11.642</f>
        <v>11.6</v>
      </c>
      <c r="E263" s="44">
        <v>0</v>
      </c>
      <c r="F263" s="44">
        <v>0</v>
      </c>
      <c r="G263" s="44">
        <v>0</v>
      </c>
      <c r="H263" s="45">
        <f t="shared" si="95"/>
        <v>11.6</v>
      </c>
      <c r="I263" s="44">
        <v>11.6</v>
      </c>
      <c r="J263" s="44">
        <v>0</v>
      </c>
      <c r="K263" s="44">
        <v>0</v>
      </c>
      <c r="L263" s="44"/>
      <c r="M263" s="44">
        <f t="shared" si="108"/>
        <v>100</v>
      </c>
      <c r="N263" s="44">
        <f t="shared" si="90"/>
        <v>0</v>
      </c>
      <c r="O263" s="44">
        <f t="shared" si="109"/>
        <v>100</v>
      </c>
      <c r="P263" s="44">
        <f t="shared" si="91"/>
        <v>0</v>
      </c>
      <c r="Q263" s="44" t="str">
        <f t="shared" si="110"/>
        <v>-</v>
      </c>
      <c r="R263" s="44">
        <f t="shared" si="92"/>
        <v>0</v>
      </c>
      <c r="S263" s="44" t="str">
        <f t="shared" si="111"/>
        <v>-</v>
      </c>
      <c r="T263" s="44">
        <f t="shared" si="93"/>
        <v>0</v>
      </c>
    </row>
    <row r="264" spans="1:20" ht="81" hidden="1" outlineLevel="2" x14ac:dyDescent="0.25">
      <c r="A264" s="6"/>
      <c r="B264" s="55" t="s">
        <v>384</v>
      </c>
      <c r="C264" s="44">
        <f t="shared" si="94"/>
        <v>38.299999999999997</v>
      </c>
      <c r="D264" s="44">
        <f>38.27539</f>
        <v>38.299999999999997</v>
      </c>
      <c r="E264" s="44">
        <v>0</v>
      </c>
      <c r="F264" s="44">
        <v>0</v>
      </c>
      <c r="G264" s="44">
        <v>0</v>
      </c>
      <c r="H264" s="45">
        <f t="shared" si="95"/>
        <v>38.299999999999997</v>
      </c>
      <c r="I264" s="44">
        <v>38.299999999999997</v>
      </c>
      <c r="J264" s="44">
        <v>0</v>
      </c>
      <c r="K264" s="44">
        <v>0</v>
      </c>
      <c r="L264" s="44"/>
      <c r="M264" s="44">
        <f t="shared" si="108"/>
        <v>100</v>
      </c>
      <c r="N264" s="44">
        <f t="shared" si="90"/>
        <v>0</v>
      </c>
      <c r="O264" s="44">
        <f t="shared" si="109"/>
        <v>100</v>
      </c>
      <c r="P264" s="44">
        <f t="shared" si="91"/>
        <v>0</v>
      </c>
      <c r="Q264" s="44" t="str">
        <f t="shared" si="110"/>
        <v>-</v>
      </c>
      <c r="R264" s="44">
        <f t="shared" si="92"/>
        <v>0</v>
      </c>
      <c r="S264" s="44" t="str">
        <f t="shared" si="111"/>
        <v>-</v>
      </c>
      <c r="T264" s="44">
        <f t="shared" si="93"/>
        <v>0</v>
      </c>
    </row>
    <row r="265" spans="1:20" ht="40.5" hidden="1" customHeight="1" outlineLevel="2" x14ac:dyDescent="0.25">
      <c r="A265" s="49"/>
      <c r="B265" s="55" t="s">
        <v>499</v>
      </c>
      <c r="C265" s="44">
        <f t="shared" si="94"/>
        <v>739.5</v>
      </c>
      <c r="D265" s="44">
        <f>739.5</f>
        <v>739.5</v>
      </c>
      <c r="E265" s="44">
        <v>0</v>
      </c>
      <c r="F265" s="44">
        <v>0</v>
      </c>
      <c r="G265" s="44">
        <v>0</v>
      </c>
      <c r="H265" s="45">
        <f t="shared" si="95"/>
        <v>739.5</v>
      </c>
      <c r="I265" s="44">
        <f>739.5</f>
        <v>739.5</v>
      </c>
      <c r="J265" s="44">
        <v>0</v>
      </c>
      <c r="K265" s="44">
        <v>0</v>
      </c>
      <c r="L265" s="44">
        <v>0</v>
      </c>
      <c r="M265" s="44">
        <f t="shared" si="108"/>
        <v>100</v>
      </c>
      <c r="N265" s="44">
        <f t="shared" si="90"/>
        <v>0</v>
      </c>
      <c r="O265" s="44">
        <f t="shared" si="109"/>
        <v>100</v>
      </c>
      <c r="P265" s="44">
        <f t="shared" si="91"/>
        <v>0</v>
      </c>
      <c r="Q265" s="44" t="str">
        <f t="shared" si="110"/>
        <v>-</v>
      </c>
      <c r="R265" s="44">
        <f t="shared" si="92"/>
        <v>0</v>
      </c>
      <c r="S265" s="44" t="str">
        <f t="shared" si="111"/>
        <v>-</v>
      </c>
      <c r="T265" s="44">
        <f t="shared" si="93"/>
        <v>0</v>
      </c>
    </row>
    <row r="266" spans="1:20" ht="40.5" hidden="1" outlineLevel="2" x14ac:dyDescent="0.25">
      <c r="A266" s="49"/>
      <c r="B266" s="55" t="s">
        <v>385</v>
      </c>
      <c r="C266" s="44">
        <f t="shared" si="94"/>
        <v>214.5</v>
      </c>
      <c r="D266" s="44">
        <f>128.4844+32</f>
        <v>160.5</v>
      </c>
      <c r="E266" s="44">
        <f>46.83435+7.16565</f>
        <v>54</v>
      </c>
      <c r="F266" s="44">
        <v>0</v>
      </c>
      <c r="G266" s="44">
        <v>0</v>
      </c>
      <c r="H266" s="44">
        <f t="shared" si="95"/>
        <v>214.5</v>
      </c>
      <c r="I266" s="44">
        <f>128.4844+32</f>
        <v>160.5</v>
      </c>
      <c r="J266" s="44">
        <v>54</v>
      </c>
      <c r="K266" s="44"/>
      <c r="L266" s="44"/>
      <c r="M266" s="44">
        <f t="shared" si="108"/>
        <v>100</v>
      </c>
      <c r="N266" s="44">
        <f t="shared" si="90"/>
        <v>0</v>
      </c>
      <c r="O266" s="44">
        <f t="shared" si="109"/>
        <v>100</v>
      </c>
      <c r="P266" s="44">
        <f t="shared" si="91"/>
        <v>0</v>
      </c>
      <c r="Q266" s="44">
        <f t="shared" si="110"/>
        <v>100</v>
      </c>
      <c r="R266" s="44">
        <f t="shared" si="92"/>
        <v>0</v>
      </c>
      <c r="S266" s="44" t="str">
        <f t="shared" si="111"/>
        <v>-</v>
      </c>
      <c r="T266" s="44">
        <f t="shared" si="93"/>
        <v>0</v>
      </c>
    </row>
    <row r="267" spans="1:20" ht="40.5" hidden="1" outlineLevel="2" x14ac:dyDescent="0.25">
      <c r="A267" s="49"/>
      <c r="B267" s="55" t="s">
        <v>386</v>
      </c>
      <c r="C267" s="44">
        <f t="shared" si="94"/>
        <v>150</v>
      </c>
      <c r="D267" s="44">
        <v>150</v>
      </c>
      <c r="E267" s="44">
        <v>0</v>
      </c>
      <c r="F267" s="44">
        <v>0</v>
      </c>
      <c r="G267" s="44">
        <v>0</v>
      </c>
      <c r="H267" s="44">
        <f t="shared" si="95"/>
        <v>150</v>
      </c>
      <c r="I267" s="44">
        <v>150</v>
      </c>
      <c r="J267" s="44">
        <v>0</v>
      </c>
      <c r="K267" s="44">
        <v>0</v>
      </c>
      <c r="L267" s="44">
        <v>0</v>
      </c>
      <c r="M267" s="44">
        <f t="shared" si="108"/>
        <v>100</v>
      </c>
      <c r="N267" s="44">
        <f t="shared" si="90"/>
        <v>0</v>
      </c>
      <c r="O267" s="44">
        <f t="shared" si="109"/>
        <v>100</v>
      </c>
      <c r="P267" s="44">
        <f t="shared" si="91"/>
        <v>0</v>
      </c>
      <c r="Q267" s="44" t="str">
        <f t="shared" si="110"/>
        <v>-</v>
      </c>
      <c r="R267" s="44">
        <f t="shared" si="92"/>
        <v>0</v>
      </c>
      <c r="S267" s="44" t="str">
        <f t="shared" si="111"/>
        <v>-</v>
      </c>
      <c r="T267" s="44">
        <f t="shared" si="93"/>
        <v>0</v>
      </c>
    </row>
    <row r="268" spans="1:20" ht="40.5" hidden="1" outlineLevel="2" x14ac:dyDescent="0.25">
      <c r="A268" s="49"/>
      <c r="B268" s="55" t="s">
        <v>387</v>
      </c>
      <c r="C268" s="44">
        <f t="shared" si="94"/>
        <v>125</v>
      </c>
      <c r="D268" s="44">
        <v>125</v>
      </c>
      <c r="E268" s="44">
        <v>0</v>
      </c>
      <c r="F268" s="44">
        <v>0</v>
      </c>
      <c r="G268" s="44">
        <v>0</v>
      </c>
      <c r="H268" s="44">
        <f t="shared" si="95"/>
        <v>125</v>
      </c>
      <c r="I268" s="44">
        <v>125</v>
      </c>
      <c r="J268" s="44">
        <v>0</v>
      </c>
      <c r="K268" s="44">
        <v>0</v>
      </c>
      <c r="L268" s="44">
        <v>0</v>
      </c>
      <c r="M268" s="44">
        <f t="shared" si="108"/>
        <v>100</v>
      </c>
      <c r="N268" s="44">
        <f t="shared" si="90"/>
        <v>0</v>
      </c>
      <c r="O268" s="44">
        <f t="shared" si="109"/>
        <v>100</v>
      </c>
      <c r="P268" s="44">
        <f t="shared" si="91"/>
        <v>0</v>
      </c>
      <c r="Q268" s="44" t="str">
        <f t="shared" si="110"/>
        <v>-</v>
      </c>
      <c r="R268" s="44">
        <f t="shared" si="92"/>
        <v>0</v>
      </c>
      <c r="S268" s="44" t="str">
        <f t="shared" si="111"/>
        <v>-</v>
      </c>
      <c r="T268" s="44">
        <f t="shared" si="93"/>
        <v>0</v>
      </c>
    </row>
    <row r="269" spans="1:20" s="23" customFormat="1" ht="40.5" collapsed="1" x14ac:dyDescent="0.25">
      <c r="A269" s="48">
        <v>16</v>
      </c>
      <c r="B269" s="41" t="s">
        <v>60</v>
      </c>
      <c r="C269" s="42">
        <f t="shared" si="94"/>
        <v>163790.6</v>
      </c>
      <c r="D269" s="42">
        <f>D270+D273+D274</f>
        <v>68790.600000000006</v>
      </c>
      <c r="E269" s="42">
        <f>E270+E273+E274</f>
        <v>95000</v>
      </c>
      <c r="F269" s="42">
        <f>F270+F273+F274</f>
        <v>0</v>
      </c>
      <c r="G269" s="42">
        <f>SUM(G270:G274)</f>
        <v>0</v>
      </c>
      <c r="H269" s="42">
        <f t="shared" si="95"/>
        <v>161559.6</v>
      </c>
      <c r="I269" s="42">
        <f>I270+I273+I274</f>
        <v>66559.600000000006</v>
      </c>
      <c r="J269" s="42">
        <f>J270+J273+J274</f>
        <v>95000</v>
      </c>
      <c r="K269" s="42">
        <f>K270+K273+K274</f>
        <v>0</v>
      </c>
      <c r="L269" s="42">
        <f>SUM(L270:L274)</f>
        <v>0</v>
      </c>
      <c r="M269" s="42">
        <f t="shared" si="108"/>
        <v>98.6</v>
      </c>
      <c r="N269" s="42">
        <f t="shared" si="90"/>
        <v>2231</v>
      </c>
      <c r="O269" s="42">
        <f t="shared" si="109"/>
        <v>96.8</v>
      </c>
      <c r="P269" s="42">
        <f t="shared" si="91"/>
        <v>2231</v>
      </c>
      <c r="Q269" s="42">
        <f t="shared" si="110"/>
        <v>100</v>
      </c>
      <c r="R269" s="42">
        <f t="shared" si="92"/>
        <v>0</v>
      </c>
      <c r="S269" s="42" t="str">
        <f t="shared" si="111"/>
        <v>-</v>
      </c>
      <c r="T269" s="42">
        <f t="shared" si="93"/>
        <v>0</v>
      </c>
    </row>
    <row r="270" spans="1:20" ht="27" hidden="1" customHeight="1" outlineLevel="1" x14ac:dyDescent="0.2">
      <c r="A270" s="75"/>
      <c r="B270" s="76" t="s">
        <v>501</v>
      </c>
      <c r="C270" s="44">
        <f t="shared" si="94"/>
        <v>140744.5</v>
      </c>
      <c r="D270" s="44">
        <f>D271+D272</f>
        <v>45744.5</v>
      </c>
      <c r="E270" s="44">
        <f>E271+E272</f>
        <v>95000</v>
      </c>
      <c r="F270" s="44">
        <f>F271+F272</f>
        <v>0</v>
      </c>
      <c r="G270" s="44">
        <v>0</v>
      </c>
      <c r="H270" s="44">
        <f t="shared" si="95"/>
        <v>138635.9</v>
      </c>
      <c r="I270" s="44">
        <f>I271+I272</f>
        <v>43635.9</v>
      </c>
      <c r="J270" s="44">
        <f>J271+J272</f>
        <v>95000</v>
      </c>
      <c r="K270" s="44">
        <f>K271+K272</f>
        <v>0</v>
      </c>
      <c r="L270" s="44">
        <v>0</v>
      </c>
      <c r="M270" s="44">
        <f t="shared" si="108"/>
        <v>98.5</v>
      </c>
      <c r="N270" s="44">
        <f t="shared" si="90"/>
        <v>2108.6</v>
      </c>
      <c r="O270" s="44">
        <f t="shared" si="109"/>
        <v>95.4</v>
      </c>
      <c r="P270" s="44">
        <f t="shared" si="91"/>
        <v>2108.6</v>
      </c>
      <c r="Q270" s="44">
        <f>IFERROR(J270/E270*100,"-")</f>
        <v>100</v>
      </c>
      <c r="R270" s="44">
        <f t="shared" si="92"/>
        <v>0</v>
      </c>
      <c r="S270" s="44" t="str">
        <f t="shared" si="111"/>
        <v>-</v>
      </c>
      <c r="T270" s="44">
        <f t="shared" si="93"/>
        <v>0</v>
      </c>
    </row>
    <row r="271" spans="1:20" ht="27" hidden="1" outlineLevel="2" x14ac:dyDescent="0.2">
      <c r="A271" s="77"/>
      <c r="B271" s="78" t="s">
        <v>339</v>
      </c>
      <c r="C271" s="44">
        <f>SUM(D271:F271)</f>
        <v>132407.79999999999</v>
      </c>
      <c r="D271" s="44">
        <f>35207.8+2200</f>
        <v>37407.800000000003</v>
      </c>
      <c r="E271" s="44">
        <v>95000</v>
      </c>
      <c r="F271" s="44">
        <v>0</v>
      </c>
      <c r="G271" s="44">
        <v>0</v>
      </c>
      <c r="H271" s="44">
        <f t="shared" si="95"/>
        <v>131259.6</v>
      </c>
      <c r="I271" s="44">
        <f>34059.8618+2199.7</f>
        <v>36259.599999999999</v>
      </c>
      <c r="J271" s="44">
        <v>95000</v>
      </c>
      <c r="K271" s="44">
        <v>0</v>
      </c>
      <c r="L271" s="44">
        <v>0</v>
      </c>
      <c r="M271" s="44">
        <f t="shared" si="108"/>
        <v>99.1</v>
      </c>
      <c r="N271" s="44">
        <f t="shared" si="90"/>
        <v>1148.2</v>
      </c>
      <c r="O271" s="44">
        <f t="shared" si="109"/>
        <v>96.9</v>
      </c>
      <c r="P271" s="44">
        <f t="shared" si="91"/>
        <v>1148.2</v>
      </c>
      <c r="Q271" s="44">
        <f t="shared" si="110"/>
        <v>100</v>
      </c>
      <c r="R271" s="44">
        <f t="shared" si="92"/>
        <v>0</v>
      </c>
      <c r="S271" s="44" t="str">
        <f t="shared" si="111"/>
        <v>-</v>
      </c>
      <c r="T271" s="44">
        <f t="shared" si="93"/>
        <v>0</v>
      </c>
    </row>
    <row r="272" spans="1:20" ht="27" hidden="1" outlineLevel="2" x14ac:dyDescent="0.2">
      <c r="A272" s="75"/>
      <c r="B272" s="78" t="s">
        <v>45</v>
      </c>
      <c r="C272" s="44">
        <f t="shared" si="94"/>
        <v>8336.7000000000007</v>
      </c>
      <c r="D272" s="44">
        <f>59.6+8277.068</f>
        <v>8336.7000000000007</v>
      </c>
      <c r="E272" s="44">
        <v>0</v>
      </c>
      <c r="F272" s="44">
        <v>0</v>
      </c>
      <c r="G272" s="44">
        <v>0</v>
      </c>
      <c r="H272" s="44">
        <f t="shared" si="95"/>
        <v>7376.3</v>
      </c>
      <c r="I272" s="44">
        <f>54.46392+7321.80131</f>
        <v>7376.3</v>
      </c>
      <c r="J272" s="44">
        <v>0</v>
      </c>
      <c r="K272" s="44">
        <v>0</v>
      </c>
      <c r="L272" s="44">
        <v>0</v>
      </c>
      <c r="M272" s="44">
        <f t="shared" si="108"/>
        <v>88.5</v>
      </c>
      <c r="N272" s="44">
        <f t="shared" si="90"/>
        <v>960.4</v>
      </c>
      <c r="O272" s="44">
        <f t="shared" si="109"/>
        <v>88.5</v>
      </c>
      <c r="P272" s="44">
        <f t="shared" si="91"/>
        <v>960.4</v>
      </c>
      <c r="Q272" s="44" t="str">
        <f t="shared" si="110"/>
        <v>-</v>
      </c>
      <c r="R272" s="44">
        <f t="shared" si="92"/>
        <v>0</v>
      </c>
      <c r="S272" s="44" t="str">
        <f t="shared" si="111"/>
        <v>-</v>
      </c>
      <c r="T272" s="44">
        <f t="shared" si="93"/>
        <v>0</v>
      </c>
    </row>
    <row r="273" spans="1:20" ht="40.5" hidden="1" customHeight="1" outlineLevel="1" x14ac:dyDescent="0.2">
      <c r="A273" s="75"/>
      <c r="B273" s="76" t="s">
        <v>502</v>
      </c>
      <c r="C273" s="44">
        <f t="shared" si="94"/>
        <v>663.6</v>
      </c>
      <c r="D273" s="44">
        <v>663.6</v>
      </c>
      <c r="E273" s="44">
        <v>0</v>
      </c>
      <c r="F273" s="44">
        <v>0</v>
      </c>
      <c r="G273" s="44"/>
      <c r="H273" s="44">
        <f t="shared" si="95"/>
        <v>621</v>
      </c>
      <c r="I273" s="44">
        <v>621</v>
      </c>
      <c r="J273" s="44">
        <v>0</v>
      </c>
      <c r="K273" s="44">
        <v>0</v>
      </c>
      <c r="L273" s="44"/>
      <c r="M273" s="44">
        <f t="shared" si="108"/>
        <v>93.6</v>
      </c>
      <c r="N273" s="44">
        <f t="shared" si="90"/>
        <v>42.6</v>
      </c>
      <c r="O273" s="44">
        <f t="shared" si="109"/>
        <v>93.6</v>
      </c>
      <c r="P273" s="44">
        <f t="shared" si="91"/>
        <v>42.6</v>
      </c>
      <c r="Q273" s="44" t="str">
        <f t="shared" si="110"/>
        <v>-</v>
      </c>
      <c r="R273" s="44">
        <f t="shared" si="92"/>
        <v>0</v>
      </c>
      <c r="S273" s="44" t="str">
        <f t="shared" si="111"/>
        <v>-</v>
      </c>
      <c r="T273" s="44">
        <f t="shared" si="93"/>
        <v>0</v>
      </c>
    </row>
    <row r="274" spans="1:20" ht="27" hidden="1" customHeight="1" outlineLevel="1" x14ac:dyDescent="0.2">
      <c r="A274" s="75"/>
      <c r="B274" s="76" t="s">
        <v>503</v>
      </c>
      <c r="C274" s="44">
        <f t="shared" si="94"/>
        <v>22382.5</v>
      </c>
      <c r="D274" s="44">
        <v>22382.5</v>
      </c>
      <c r="E274" s="44">
        <v>0</v>
      </c>
      <c r="F274" s="44">
        <v>0</v>
      </c>
      <c r="G274" s="44">
        <v>0</v>
      </c>
      <c r="H274" s="44">
        <f t="shared" si="95"/>
        <v>22302.7</v>
      </c>
      <c r="I274" s="44">
        <v>22302.7</v>
      </c>
      <c r="J274" s="44">
        <v>0</v>
      </c>
      <c r="K274" s="44">
        <v>0</v>
      </c>
      <c r="L274" s="44">
        <v>0</v>
      </c>
      <c r="M274" s="44">
        <f t="shared" si="108"/>
        <v>99.6</v>
      </c>
      <c r="N274" s="44">
        <f t="shared" si="90"/>
        <v>79.8</v>
      </c>
      <c r="O274" s="44">
        <f t="shared" si="109"/>
        <v>99.6</v>
      </c>
      <c r="P274" s="44">
        <f t="shared" si="91"/>
        <v>79.8</v>
      </c>
      <c r="Q274" s="44" t="str">
        <f t="shared" si="110"/>
        <v>-</v>
      </c>
      <c r="R274" s="44">
        <f t="shared" si="92"/>
        <v>0</v>
      </c>
      <c r="S274" s="44" t="str">
        <f t="shared" si="111"/>
        <v>-</v>
      </c>
      <c r="T274" s="44">
        <f t="shared" si="93"/>
        <v>0</v>
      </c>
    </row>
    <row r="275" spans="1:20" s="23" customFormat="1" ht="27" collapsed="1" x14ac:dyDescent="0.25">
      <c r="A275" s="48">
        <v>17</v>
      </c>
      <c r="B275" s="41" t="s">
        <v>46</v>
      </c>
      <c r="C275" s="42">
        <f t="shared" si="94"/>
        <v>25789.9</v>
      </c>
      <c r="D275" s="42">
        <f>D276</f>
        <v>1505.2</v>
      </c>
      <c r="E275" s="42">
        <f>E276</f>
        <v>24284.7</v>
      </c>
      <c r="F275" s="42">
        <f>F276</f>
        <v>0</v>
      </c>
      <c r="G275" s="42">
        <f>G276</f>
        <v>0</v>
      </c>
      <c r="H275" s="42">
        <f t="shared" si="95"/>
        <v>25789.9</v>
      </c>
      <c r="I275" s="42">
        <f>I276</f>
        <v>1505.2</v>
      </c>
      <c r="J275" s="42">
        <f>J276</f>
        <v>24284.7</v>
      </c>
      <c r="K275" s="42">
        <f>K276</f>
        <v>0</v>
      </c>
      <c r="L275" s="42">
        <f>L276</f>
        <v>0</v>
      </c>
      <c r="M275" s="42">
        <f t="shared" si="108"/>
        <v>100</v>
      </c>
      <c r="N275" s="42">
        <f t="shared" si="90"/>
        <v>0</v>
      </c>
      <c r="O275" s="42">
        <f t="shared" si="109"/>
        <v>100</v>
      </c>
      <c r="P275" s="42">
        <f t="shared" si="91"/>
        <v>0</v>
      </c>
      <c r="Q275" s="42">
        <f t="shared" si="110"/>
        <v>100</v>
      </c>
      <c r="R275" s="42">
        <f t="shared" si="92"/>
        <v>0</v>
      </c>
      <c r="S275" s="42" t="str">
        <f t="shared" si="111"/>
        <v>-</v>
      </c>
      <c r="T275" s="42">
        <f t="shared" si="93"/>
        <v>0</v>
      </c>
    </row>
    <row r="276" spans="1:20" ht="27" hidden="1" customHeight="1" outlineLevel="1" x14ac:dyDescent="0.25">
      <c r="A276" s="49"/>
      <c r="B276" s="46" t="s">
        <v>579</v>
      </c>
      <c r="C276" s="44">
        <f t="shared" si="94"/>
        <v>25789.9</v>
      </c>
      <c r="D276" s="44">
        <v>1505.2</v>
      </c>
      <c r="E276" s="44">
        <v>24284.7</v>
      </c>
      <c r="F276" s="44">
        <v>0</v>
      </c>
      <c r="G276" s="44"/>
      <c r="H276" s="44">
        <f t="shared" si="95"/>
        <v>25789.9</v>
      </c>
      <c r="I276" s="44">
        <v>1505.2</v>
      </c>
      <c r="J276" s="44">
        <v>24284.7</v>
      </c>
      <c r="K276" s="44">
        <v>0</v>
      </c>
      <c r="L276" s="44"/>
      <c r="M276" s="44">
        <f t="shared" si="108"/>
        <v>100</v>
      </c>
      <c r="N276" s="44">
        <f t="shared" si="90"/>
        <v>0</v>
      </c>
      <c r="O276" s="44">
        <f t="shared" si="109"/>
        <v>100</v>
      </c>
      <c r="P276" s="44">
        <f t="shared" si="91"/>
        <v>0</v>
      </c>
      <c r="Q276" s="44">
        <f t="shared" si="110"/>
        <v>100</v>
      </c>
      <c r="R276" s="44">
        <f t="shared" si="92"/>
        <v>0</v>
      </c>
      <c r="S276" s="44" t="str">
        <f t="shared" si="111"/>
        <v>-</v>
      </c>
      <c r="T276" s="44">
        <f t="shared" si="93"/>
        <v>0</v>
      </c>
    </row>
    <row r="277" spans="1:20" s="23" customFormat="1" ht="29.25" customHeight="1" collapsed="1" x14ac:dyDescent="0.25">
      <c r="A277" s="48">
        <v>18</v>
      </c>
      <c r="B277" s="41" t="s">
        <v>53</v>
      </c>
      <c r="C277" s="42">
        <f t="shared" si="94"/>
        <v>159448.29999999999</v>
      </c>
      <c r="D277" s="42">
        <f>D278+D283+D289</f>
        <v>113593.3</v>
      </c>
      <c r="E277" s="42">
        <f>E278+E283+E289</f>
        <v>45855</v>
      </c>
      <c r="F277" s="42">
        <f>F278+F283+F289</f>
        <v>0</v>
      </c>
      <c r="G277" s="42">
        <f>G278+G283+G289</f>
        <v>0</v>
      </c>
      <c r="H277" s="42">
        <f t="shared" ref="H277:H293" si="112">SUM(I277:K277)</f>
        <v>155106.5</v>
      </c>
      <c r="I277" s="42">
        <f>I278+I283+I289</f>
        <v>113306.4</v>
      </c>
      <c r="J277" s="42">
        <f>J278+J283+J289</f>
        <v>41800.1</v>
      </c>
      <c r="K277" s="42">
        <f>K278+K283+K289</f>
        <v>0</v>
      </c>
      <c r="L277" s="42">
        <f>L278+L283+L289</f>
        <v>0</v>
      </c>
      <c r="M277" s="42">
        <f>IFERROR(H277/C277*100,"-")</f>
        <v>97.3</v>
      </c>
      <c r="N277" s="42">
        <f t="shared" si="90"/>
        <v>4341.8</v>
      </c>
      <c r="O277" s="42">
        <f t="shared" si="109"/>
        <v>99.7</v>
      </c>
      <c r="P277" s="42">
        <f t="shared" si="91"/>
        <v>286.89999999999998</v>
      </c>
      <c r="Q277" s="42">
        <f t="shared" si="110"/>
        <v>91.2</v>
      </c>
      <c r="R277" s="42">
        <f t="shared" si="92"/>
        <v>4054.9</v>
      </c>
      <c r="S277" s="42" t="str">
        <f t="shared" si="111"/>
        <v>-</v>
      </c>
      <c r="T277" s="42">
        <f t="shared" si="93"/>
        <v>0</v>
      </c>
    </row>
    <row r="278" spans="1:20" ht="27" hidden="1" customHeight="1" outlineLevel="1" x14ac:dyDescent="0.25">
      <c r="A278" s="188"/>
      <c r="B278" s="58" t="s">
        <v>47</v>
      </c>
      <c r="C278" s="59">
        <f t="shared" si="94"/>
        <v>55240.3</v>
      </c>
      <c r="D278" s="189">
        <f>D279</f>
        <v>9385.2999999999993</v>
      </c>
      <c r="E278" s="189">
        <f>E279</f>
        <v>45855</v>
      </c>
      <c r="F278" s="189">
        <f>F279</f>
        <v>0</v>
      </c>
      <c r="G278" s="189">
        <f>G279</f>
        <v>0</v>
      </c>
      <c r="H278" s="59">
        <f>SUM(I278:K278)</f>
        <v>50937.1</v>
      </c>
      <c r="I278" s="189">
        <f>I279</f>
        <v>9137</v>
      </c>
      <c r="J278" s="189">
        <f>J279</f>
        <v>41800.1</v>
      </c>
      <c r="K278" s="189">
        <f>K279</f>
        <v>0</v>
      </c>
      <c r="L278" s="189">
        <f>L279+L282</f>
        <v>0</v>
      </c>
      <c r="M278" s="189">
        <f t="shared" ref="M278:M293" si="113">IFERROR(H278/C278*100,"-")</f>
        <v>92.2</v>
      </c>
      <c r="N278" s="189">
        <f t="shared" si="90"/>
        <v>4303.2</v>
      </c>
      <c r="O278" s="189">
        <f t="shared" si="109"/>
        <v>97.4</v>
      </c>
      <c r="P278" s="189">
        <f t="shared" si="91"/>
        <v>248.3</v>
      </c>
      <c r="Q278" s="189">
        <f t="shared" si="110"/>
        <v>91.2</v>
      </c>
      <c r="R278" s="189">
        <f t="shared" si="92"/>
        <v>4054.9</v>
      </c>
      <c r="S278" s="189" t="str">
        <f t="shared" si="111"/>
        <v>-</v>
      </c>
      <c r="T278" s="189">
        <f t="shared" si="93"/>
        <v>0</v>
      </c>
    </row>
    <row r="279" spans="1:20" ht="40.5" hidden="1" outlineLevel="2" x14ac:dyDescent="0.25">
      <c r="A279" s="190"/>
      <c r="B279" s="191" t="s">
        <v>671</v>
      </c>
      <c r="C279" s="44">
        <f t="shared" si="94"/>
        <v>55240.3</v>
      </c>
      <c r="D279" s="128">
        <f>D281+D282+D280</f>
        <v>9385.2999999999993</v>
      </c>
      <c r="E279" s="128">
        <f>E281+E282+E280</f>
        <v>45855</v>
      </c>
      <c r="F279" s="128">
        <f>F281+F282+F280</f>
        <v>0</v>
      </c>
      <c r="G279" s="128">
        <f>G281+G282+G280</f>
        <v>0</v>
      </c>
      <c r="H279" s="59">
        <f>SUM(I279:K279)</f>
        <v>50937.1</v>
      </c>
      <c r="I279" s="128">
        <f>I281+I282+I280</f>
        <v>9137</v>
      </c>
      <c r="J279" s="128">
        <f>J281+J282+J280</f>
        <v>41800.1</v>
      </c>
      <c r="K279" s="128">
        <f>K281+K282+K280</f>
        <v>0</v>
      </c>
      <c r="L279" s="128">
        <f>L281+L282+L280</f>
        <v>0</v>
      </c>
      <c r="M279" s="44">
        <f t="shared" si="113"/>
        <v>92.2</v>
      </c>
      <c r="N279" s="44">
        <f t="shared" si="90"/>
        <v>4303.2</v>
      </c>
      <c r="O279" s="44">
        <f t="shared" si="109"/>
        <v>97.4</v>
      </c>
      <c r="P279" s="44">
        <f t="shared" si="91"/>
        <v>248.3</v>
      </c>
      <c r="Q279" s="44">
        <f>IFERROR(J279/E279*100,"-")</f>
        <v>91.2</v>
      </c>
      <c r="R279" s="44">
        <f t="shared" si="92"/>
        <v>4054.9</v>
      </c>
      <c r="S279" s="44" t="str">
        <f t="shared" si="111"/>
        <v>-</v>
      </c>
      <c r="T279" s="44">
        <f t="shared" si="93"/>
        <v>0</v>
      </c>
    </row>
    <row r="280" spans="1:20" hidden="1" outlineLevel="3" x14ac:dyDescent="0.25">
      <c r="A280" s="190" t="s">
        <v>415</v>
      </c>
      <c r="B280" s="192" t="s">
        <v>401</v>
      </c>
      <c r="C280" s="44">
        <f>SUM(D280:F280)</f>
        <v>48972.5</v>
      </c>
      <c r="D280" s="128">
        <f>3117.49872</f>
        <v>3117.5</v>
      </c>
      <c r="E280" s="128">
        <f>45855</f>
        <v>45855</v>
      </c>
      <c r="F280" s="128">
        <v>0</v>
      </c>
      <c r="G280" s="128"/>
      <c r="H280" s="44">
        <f t="shared" si="112"/>
        <v>44704.2</v>
      </c>
      <c r="I280" s="128">
        <f>2904.08322</f>
        <v>2904.1</v>
      </c>
      <c r="J280" s="128">
        <f>41800.10544</f>
        <v>41800.1</v>
      </c>
      <c r="K280" s="128"/>
      <c r="L280" s="128"/>
      <c r="M280" s="44">
        <f t="shared" si="113"/>
        <v>91.3</v>
      </c>
      <c r="N280" s="44">
        <f t="shared" si="90"/>
        <v>4268.3</v>
      </c>
      <c r="O280" s="44">
        <f t="shared" si="109"/>
        <v>93.2</v>
      </c>
      <c r="P280" s="44">
        <f t="shared" si="91"/>
        <v>213.4</v>
      </c>
      <c r="Q280" s="44">
        <f>IFERROR(J280/E280*100,"-")</f>
        <v>91.2</v>
      </c>
      <c r="R280" s="44">
        <f t="shared" si="92"/>
        <v>4054.9</v>
      </c>
      <c r="S280" s="44" t="str">
        <f t="shared" si="111"/>
        <v>-</v>
      </c>
      <c r="T280" s="44">
        <f t="shared" si="93"/>
        <v>0</v>
      </c>
    </row>
    <row r="281" spans="1:20" ht="27" hidden="1" outlineLevel="3" x14ac:dyDescent="0.25">
      <c r="A281" s="190" t="s">
        <v>416</v>
      </c>
      <c r="B281" s="192" t="s">
        <v>672</v>
      </c>
      <c r="C281" s="44">
        <f>SUM(D281:F281)</f>
        <v>1835.9</v>
      </c>
      <c r="D281" s="128">
        <f>1835.922</f>
        <v>1835.9</v>
      </c>
      <c r="E281" s="128">
        <v>0</v>
      </c>
      <c r="F281" s="128">
        <v>0</v>
      </c>
      <c r="G281" s="128"/>
      <c r="H281" s="44">
        <f>SUM(I281:K281)</f>
        <v>1835.9</v>
      </c>
      <c r="I281" s="128">
        <f>1835.922</f>
        <v>1835.9</v>
      </c>
      <c r="J281" s="128">
        <v>0</v>
      </c>
      <c r="K281" s="128">
        <v>0</v>
      </c>
      <c r="L281" s="128"/>
      <c r="M281" s="44">
        <f>IFERROR(H281/C281*100,"-")</f>
        <v>100</v>
      </c>
      <c r="N281" s="44">
        <f>C281-H281</f>
        <v>0</v>
      </c>
      <c r="O281" s="44">
        <f>IFERROR(I281/D281*100,"-")</f>
        <v>100</v>
      </c>
      <c r="P281" s="44">
        <f>D281-I281</f>
        <v>0</v>
      </c>
      <c r="Q281" s="44" t="str">
        <f>IFERROR(J281/E281*100,"-")</f>
        <v>-</v>
      </c>
      <c r="R281" s="44">
        <f>E281-J281</f>
        <v>0</v>
      </c>
      <c r="S281" s="44" t="str">
        <f>IFERROR(K281/F281*100,"-")</f>
        <v>-</v>
      </c>
      <c r="T281" s="44">
        <f>F281-K281</f>
        <v>0</v>
      </c>
    </row>
    <row r="282" spans="1:20" ht="27" hidden="1" outlineLevel="3" x14ac:dyDescent="0.25">
      <c r="A282" s="190" t="s">
        <v>418</v>
      </c>
      <c r="B282" s="192" t="s">
        <v>48</v>
      </c>
      <c r="C282" s="44">
        <f t="shared" ref="C282:C293" si="114">SUM(D282:F282)</f>
        <v>4431.8999999999996</v>
      </c>
      <c r="D282" s="128">
        <f>4212.99179+218.95777</f>
        <v>4431.8999999999996</v>
      </c>
      <c r="E282" s="128">
        <v>0</v>
      </c>
      <c r="F282" s="128">
        <v>0</v>
      </c>
      <c r="G282" s="128">
        <v>0</v>
      </c>
      <c r="H282" s="44">
        <f t="shared" si="112"/>
        <v>4397</v>
      </c>
      <c r="I282" s="128">
        <f>4211.99979+185</f>
        <v>4397</v>
      </c>
      <c r="J282" s="128">
        <v>0</v>
      </c>
      <c r="K282" s="128">
        <v>0</v>
      </c>
      <c r="L282" s="128">
        <v>0</v>
      </c>
      <c r="M282" s="44">
        <f t="shared" si="113"/>
        <v>99.2</v>
      </c>
      <c r="N282" s="44">
        <f t="shared" si="90"/>
        <v>34.9</v>
      </c>
      <c r="O282" s="44">
        <f t="shared" si="109"/>
        <v>99.2</v>
      </c>
      <c r="P282" s="44">
        <f t="shared" si="91"/>
        <v>34.9</v>
      </c>
      <c r="Q282" s="44" t="str">
        <f t="shared" si="110"/>
        <v>-</v>
      </c>
      <c r="R282" s="44">
        <f t="shared" si="92"/>
        <v>0</v>
      </c>
      <c r="S282" s="44" t="str">
        <f t="shared" si="111"/>
        <v>-</v>
      </c>
      <c r="T282" s="44">
        <f t="shared" si="93"/>
        <v>0</v>
      </c>
    </row>
    <row r="283" spans="1:20" ht="27" hidden="1" customHeight="1" outlineLevel="1" x14ac:dyDescent="0.25">
      <c r="A283" s="188"/>
      <c r="B283" s="58" t="s">
        <v>49</v>
      </c>
      <c r="C283" s="59">
        <f t="shared" si="114"/>
        <v>56667.4</v>
      </c>
      <c r="D283" s="189">
        <f>D284</f>
        <v>56667.4</v>
      </c>
      <c r="E283" s="189">
        <f>E284</f>
        <v>0</v>
      </c>
      <c r="F283" s="189">
        <f>F284</f>
        <v>0</v>
      </c>
      <c r="G283" s="189">
        <f>SUM(G285:G287)</f>
        <v>0</v>
      </c>
      <c r="H283" s="59">
        <f t="shared" si="112"/>
        <v>56628.800000000003</v>
      </c>
      <c r="I283" s="189">
        <f>I284</f>
        <v>56628.800000000003</v>
      </c>
      <c r="J283" s="189">
        <f>J284</f>
        <v>0</v>
      </c>
      <c r="K283" s="189">
        <f>K284</f>
        <v>0</v>
      </c>
      <c r="L283" s="189">
        <f>SUM(L285:L287)</f>
        <v>0</v>
      </c>
      <c r="M283" s="59">
        <f t="shared" si="113"/>
        <v>99.9</v>
      </c>
      <c r="N283" s="59">
        <f t="shared" si="90"/>
        <v>38.6</v>
      </c>
      <c r="O283" s="59">
        <f t="shared" si="109"/>
        <v>99.9</v>
      </c>
      <c r="P283" s="59">
        <f t="shared" si="91"/>
        <v>38.6</v>
      </c>
      <c r="Q283" s="59" t="str">
        <f t="shared" si="110"/>
        <v>-</v>
      </c>
      <c r="R283" s="59">
        <f t="shared" si="92"/>
        <v>0</v>
      </c>
      <c r="S283" s="59" t="str">
        <f t="shared" si="111"/>
        <v>-</v>
      </c>
      <c r="T283" s="59">
        <f t="shared" si="93"/>
        <v>0</v>
      </c>
    </row>
    <row r="284" spans="1:20" ht="40.5" hidden="1" outlineLevel="2" x14ac:dyDescent="0.25">
      <c r="A284" s="190"/>
      <c r="B284" s="191" t="s">
        <v>673</v>
      </c>
      <c r="C284" s="44">
        <f>SUM(D284:F284)</f>
        <v>56667.4</v>
      </c>
      <c r="D284" s="128">
        <f>SUM(D285:D288)</f>
        <v>56667.4</v>
      </c>
      <c r="E284" s="128">
        <f>SUM(E285:E288)</f>
        <v>0</v>
      </c>
      <c r="F284" s="128">
        <f>SUM(F285:F288)</f>
        <v>0</v>
      </c>
      <c r="G284" s="128">
        <f>SUM(G285:G288)</f>
        <v>0</v>
      </c>
      <c r="H284" s="44">
        <f t="shared" si="112"/>
        <v>56628.800000000003</v>
      </c>
      <c r="I284" s="128">
        <f>SUM(I285:I288)</f>
        <v>56628.800000000003</v>
      </c>
      <c r="J284" s="128">
        <f>SUM(J285:J288)</f>
        <v>0</v>
      </c>
      <c r="K284" s="128">
        <f>SUM(K285:K288)</f>
        <v>0</v>
      </c>
      <c r="L284" s="44"/>
      <c r="M284" s="44">
        <f t="shared" si="113"/>
        <v>99.9</v>
      </c>
      <c r="N284" s="44">
        <f t="shared" si="90"/>
        <v>38.6</v>
      </c>
      <c r="O284" s="44">
        <f t="shared" si="109"/>
        <v>99.9</v>
      </c>
      <c r="P284" s="44">
        <f t="shared" si="91"/>
        <v>38.6</v>
      </c>
      <c r="Q284" s="44" t="str">
        <f t="shared" si="110"/>
        <v>-</v>
      </c>
      <c r="R284" s="44">
        <f t="shared" si="92"/>
        <v>0</v>
      </c>
      <c r="S284" s="44" t="str">
        <f t="shared" si="111"/>
        <v>-</v>
      </c>
      <c r="T284" s="44">
        <f t="shared" si="93"/>
        <v>0</v>
      </c>
    </row>
    <row r="285" spans="1:20" hidden="1" outlineLevel="3" x14ac:dyDescent="0.25">
      <c r="A285" s="190"/>
      <c r="B285" s="192" t="s">
        <v>50</v>
      </c>
      <c r="C285" s="44">
        <f t="shared" si="114"/>
        <v>30652</v>
      </c>
      <c r="D285" s="128">
        <f>30651.9961</f>
        <v>30652</v>
      </c>
      <c r="E285" s="128">
        <v>0</v>
      </c>
      <c r="F285" s="128">
        <v>0</v>
      </c>
      <c r="G285" s="128">
        <v>0</v>
      </c>
      <c r="H285" s="44">
        <f t="shared" si="112"/>
        <v>30613.5</v>
      </c>
      <c r="I285" s="128">
        <f>30613.46406</f>
        <v>30613.5</v>
      </c>
      <c r="J285" s="128">
        <v>0</v>
      </c>
      <c r="K285" s="44">
        <v>0</v>
      </c>
      <c r="L285" s="44"/>
      <c r="M285" s="44">
        <f t="shared" si="113"/>
        <v>99.9</v>
      </c>
      <c r="N285" s="44">
        <f t="shared" si="90"/>
        <v>38.5</v>
      </c>
      <c r="O285" s="44">
        <f t="shared" si="109"/>
        <v>99.9</v>
      </c>
      <c r="P285" s="44">
        <f t="shared" si="91"/>
        <v>38.5</v>
      </c>
      <c r="Q285" s="44" t="str">
        <f t="shared" si="110"/>
        <v>-</v>
      </c>
      <c r="R285" s="44">
        <f t="shared" si="92"/>
        <v>0</v>
      </c>
      <c r="S285" s="44" t="str">
        <f t="shared" si="111"/>
        <v>-</v>
      </c>
      <c r="T285" s="44">
        <f t="shared" si="93"/>
        <v>0</v>
      </c>
    </row>
    <row r="286" spans="1:20" hidden="1" outlineLevel="3" x14ac:dyDescent="0.25">
      <c r="A286" s="190"/>
      <c r="B286" s="192" t="s">
        <v>51</v>
      </c>
      <c r="C286" s="44">
        <f t="shared" si="114"/>
        <v>20407.400000000001</v>
      </c>
      <c r="D286" s="128">
        <f>20407.3648</f>
        <v>20407.400000000001</v>
      </c>
      <c r="E286" s="128">
        <v>0</v>
      </c>
      <c r="F286" s="128">
        <v>0</v>
      </c>
      <c r="G286" s="128">
        <v>0</v>
      </c>
      <c r="H286" s="44">
        <f t="shared" si="112"/>
        <v>20407.3</v>
      </c>
      <c r="I286" s="128">
        <f>20407.31588</f>
        <v>20407.3</v>
      </c>
      <c r="J286" s="128">
        <v>0</v>
      </c>
      <c r="K286" s="44">
        <v>0</v>
      </c>
      <c r="L286" s="44"/>
      <c r="M286" s="44">
        <f t="shared" si="113"/>
        <v>100</v>
      </c>
      <c r="N286" s="44">
        <f t="shared" si="90"/>
        <v>0.1</v>
      </c>
      <c r="O286" s="44">
        <f t="shared" si="109"/>
        <v>100</v>
      </c>
      <c r="P286" s="44">
        <f t="shared" si="91"/>
        <v>0.1</v>
      </c>
      <c r="Q286" s="44" t="str">
        <f t="shared" si="110"/>
        <v>-</v>
      </c>
      <c r="R286" s="44">
        <f t="shared" si="92"/>
        <v>0</v>
      </c>
      <c r="S286" s="44" t="str">
        <f t="shared" si="111"/>
        <v>-</v>
      </c>
      <c r="T286" s="44">
        <f t="shared" si="93"/>
        <v>0</v>
      </c>
    </row>
    <row r="287" spans="1:20" hidden="1" outlineLevel="3" x14ac:dyDescent="0.25">
      <c r="A287" s="193"/>
      <c r="B287" s="192" t="s">
        <v>52</v>
      </c>
      <c r="C287" s="44">
        <f t="shared" si="114"/>
        <v>4097.3999999999996</v>
      </c>
      <c r="D287" s="128">
        <f>4097.4391</f>
        <v>4097.3999999999996</v>
      </c>
      <c r="E287" s="128">
        <v>0</v>
      </c>
      <c r="F287" s="128">
        <v>0</v>
      </c>
      <c r="G287" s="128">
        <v>0</v>
      </c>
      <c r="H287" s="44">
        <f t="shared" si="112"/>
        <v>4097.3999999999996</v>
      </c>
      <c r="I287" s="128">
        <f>4097.4391</f>
        <v>4097.3999999999996</v>
      </c>
      <c r="J287" s="128">
        <v>0</v>
      </c>
      <c r="K287" s="44">
        <v>0</v>
      </c>
      <c r="L287" s="44"/>
      <c r="M287" s="44">
        <f t="shared" si="113"/>
        <v>100</v>
      </c>
      <c r="N287" s="44">
        <f t="shared" si="90"/>
        <v>0</v>
      </c>
      <c r="O287" s="44">
        <f t="shared" si="109"/>
        <v>100</v>
      </c>
      <c r="P287" s="44">
        <f t="shared" si="91"/>
        <v>0</v>
      </c>
      <c r="Q287" s="44" t="str">
        <f t="shared" si="110"/>
        <v>-</v>
      </c>
      <c r="R287" s="44">
        <f t="shared" si="92"/>
        <v>0</v>
      </c>
      <c r="S287" s="44" t="str">
        <f t="shared" si="111"/>
        <v>-</v>
      </c>
      <c r="T287" s="44">
        <f t="shared" si="93"/>
        <v>0</v>
      </c>
    </row>
    <row r="288" spans="1:20" hidden="1" outlineLevel="3" x14ac:dyDescent="0.25">
      <c r="A288" s="193"/>
      <c r="B288" s="192" t="s">
        <v>340</v>
      </c>
      <c r="C288" s="44">
        <f>SUM(D288:F288)</f>
        <v>1510.6</v>
      </c>
      <c r="D288" s="128">
        <f>1510.6</f>
        <v>1510.6</v>
      </c>
      <c r="E288" s="128">
        <v>0</v>
      </c>
      <c r="F288" s="128">
        <v>0</v>
      </c>
      <c r="G288" s="128"/>
      <c r="H288" s="44">
        <f>SUM(I288:K288)</f>
        <v>1510.6</v>
      </c>
      <c r="I288" s="128">
        <f>1510.6</f>
        <v>1510.6</v>
      </c>
      <c r="J288" s="128">
        <v>0</v>
      </c>
      <c r="K288" s="44">
        <v>0</v>
      </c>
      <c r="L288" s="44"/>
      <c r="M288" s="44">
        <f>IFERROR(H288/C288*100,"-")</f>
        <v>100</v>
      </c>
      <c r="N288" s="44">
        <f>C288-H288</f>
        <v>0</v>
      </c>
      <c r="O288" s="44">
        <f>IFERROR(I288/D288*100,"-")</f>
        <v>100</v>
      </c>
      <c r="P288" s="44">
        <f>D288-I288</f>
        <v>0</v>
      </c>
      <c r="Q288" s="44" t="str">
        <f>IFERROR(J288/E288*100,"-")</f>
        <v>-</v>
      </c>
      <c r="R288" s="44">
        <f>E288-J288</f>
        <v>0</v>
      </c>
      <c r="S288" s="44" t="str">
        <f>IFERROR(K288/F288*100,"-")</f>
        <v>-</v>
      </c>
      <c r="T288" s="44">
        <f>F288-K288</f>
        <v>0</v>
      </c>
    </row>
    <row r="289" spans="1:20" ht="27" hidden="1" outlineLevel="1" x14ac:dyDescent="0.25">
      <c r="A289" s="194"/>
      <c r="B289" s="58" t="s">
        <v>341</v>
      </c>
      <c r="C289" s="59">
        <f t="shared" si="114"/>
        <v>47540.6</v>
      </c>
      <c r="D289" s="189">
        <f>D290</f>
        <v>47540.6</v>
      </c>
      <c r="E289" s="189">
        <f>E290</f>
        <v>0</v>
      </c>
      <c r="F289" s="189">
        <f>F290</f>
        <v>0</v>
      </c>
      <c r="G289" s="189">
        <f>SUM(G290:G292)</f>
        <v>0</v>
      </c>
      <c r="H289" s="59">
        <f t="shared" si="112"/>
        <v>47540.6</v>
      </c>
      <c r="I289" s="189">
        <f>I290</f>
        <v>47540.6</v>
      </c>
      <c r="J289" s="189">
        <f>J290</f>
        <v>0</v>
      </c>
      <c r="K289" s="189">
        <f>K290</f>
        <v>0</v>
      </c>
      <c r="L289" s="189">
        <f>L290</f>
        <v>0</v>
      </c>
      <c r="M289" s="189">
        <f t="shared" si="113"/>
        <v>100</v>
      </c>
      <c r="N289" s="189">
        <f t="shared" si="90"/>
        <v>0</v>
      </c>
      <c r="O289" s="189">
        <f t="shared" si="109"/>
        <v>100</v>
      </c>
      <c r="P289" s="189">
        <f t="shared" si="91"/>
        <v>0</v>
      </c>
      <c r="Q289" s="189" t="str">
        <f t="shared" si="110"/>
        <v>-</v>
      </c>
      <c r="R289" s="189">
        <f t="shared" si="92"/>
        <v>0</v>
      </c>
      <c r="S289" s="189" t="str">
        <f t="shared" si="111"/>
        <v>-</v>
      </c>
      <c r="T289" s="189">
        <f t="shared" si="93"/>
        <v>0</v>
      </c>
    </row>
    <row r="290" spans="1:20" ht="27" hidden="1" customHeight="1" outlineLevel="2" x14ac:dyDescent="0.25">
      <c r="A290" s="188"/>
      <c r="B290" s="191" t="s">
        <v>674</v>
      </c>
      <c r="C290" s="44">
        <f>SUM(D290:F290)</f>
        <v>47540.6</v>
      </c>
      <c r="D290" s="128">
        <f>SUM(D291:D293)</f>
        <v>47540.6</v>
      </c>
      <c r="E290" s="128">
        <f t="shared" ref="E290:K290" si="115">SUM(E291:E292)</f>
        <v>0</v>
      </c>
      <c r="F290" s="128">
        <f t="shared" si="115"/>
        <v>0</v>
      </c>
      <c r="G290" s="128">
        <f>SUM(G291:G292)</f>
        <v>0</v>
      </c>
      <c r="H290" s="128">
        <f>SUM(I290:K290)</f>
        <v>47540.6</v>
      </c>
      <c r="I290" s="128">
        <f>SUM(I291:I293)</f>
        <v>47540.6</v>
      </c>
      <c r="J290" s="128">
        <f t="shared" si="115"/>
        <v>0</v>
      </c>
      <c r="K290" s="128">
        <f t="shared" si="115"/>
        <v>0</v>
      </c>
      <c r="L290" s="128">
        <v>0</v>
      </c>
      <c r="M290" s="44">
        <f t="shared" si="113"/>
        <v>100</v>
      </c>
      <c r="N290" s="44">
        <f t="shared" si="90"/>
        <v>0</v>
      </c>
      <c r="O290" s="44">
        <f t="shared" si="109"/>
        <v>100</v>
      </c>
      <c r="P290" s="44">
        <f t="shared" si="91"/>
        <v>0</v>
      </c>
      <c r="Q290" s="44" t="str">
        <f t="shared" si="110"/>
        <v>-</v>
      </c>
      <c r="R290" s="44">
        <f t="shared" si="92"/>
        <v>0</v>
      </c>
      <c r="S290" s="44" t="str">
        <f t="shared" si="111"/>
        <v>-</v>
      </c>
      <c r="T290" s="44">
        <f t="shared" si="93"/>
        <v>0</v>
      </c>
    </row>
    <row r="291" spans="1:20" ht="27" hidden="1" outlineLevel="3" x14ac:dyDescent="0.25">
      <c r="A291" s="188"/>
      <c r="B291" s="192" t="s">
        <v>675</v>
      </c>
      <c r="C291" s="44">
        <f>SUM(D291:F291)</f>
        <v>4378.6000000000004</v>
      </c>
      <c r="D291" s="128">
        <f>4378.579</f>
        <v>4378.6000000000004</v>
      </c>
      <c r="E291" s="128">
        <v>0</v>
      </c>
      <c r="F291" s="128">
        <v>0</v>
      </c>
      <c r="G291" s="128"/>
      <c r="H291" s="128">
        <f>SUM(I291:K291)</f>
        <v>4378.6000000000004</v>
      </c>
      <c r="I291" s="128">
        <f>4378.579</f>
        <v>4378.6000000000004</v>
      </c>
      <c r="J291" s="128">
        <v>0</v>
      </c>
      <c r="K291" s="128">
        <v>0</v>
      </c>
      <c r="L291" s="128">
        <v>0</v>
      </c>
      <c r="M291" s="44">
        <f>IFERROR(H291/C291*100,"-")</f>
        <v>100</v>
      </c>
      <c r="N291" s="44">
        <f>C291-H291</f>
        <v>0</v>
      </c>
      <c r="O291" s="44">
        <f>IFERROR(I291/D291*100,"-")</f>
        <v>100</v>
      </c>
      <c r="P291" s="44">
        <f>D291-I291</f>
        <v>0</v>
      </c>
      <c r="Q291" s="44" t="str">
        <f>IFERROR(J291/E291*100,"-")</f>
        <v>-</v>
      </c>
      <c r="R291" s="44">
        <f>E291-J291</f>
        <v>0</v>
      </c>
      <c r="S291" s="44" t="str">
        <f>IFERROR(K291/F291*100,"-")</f>
        <v>-</v>
      </c>
      <c r="T291" s="44">
        <f>F291-K291</f>
        <v>0</v>
      </c>
    </row>
    <row r="292" spans="1:20" hidden="1" outlineLevel="3" x14ac:dyDescent="0.25">
      <c r="A292" s="188"/>
      <c r="B292" s="192" t="s">
        <v>342</v>
      </c>
      <c r="C292" s="44">
        <f t="shared" si="114"/>
        <v>42688</v>
      </c>
      <c r="D292" s="128">
        <f>42688</f>
        <v>42688</v>
      </c>
      <c r="E292" s="128">
        <v>0</v>
      </c>
      <c r="F292" s="128">
        <v>0</v>
      </c>
      <c r="G292" s="128">
        <v>0</v>
      </c>
      <c r="H292" s="128">
        <f t="shared" si="112"/>
        <v>42688</v>
      </c>
      <c r="I292" s="128">
        <f>42688</f>
        <v>42688</v>
      </c>
      <c r="J292" s="128">
        <v>0</v>
      </c>
      <c r="K292" s="128">
        <v>0</v>
      </c>
      <c r="L292" s="128">
        <v>0</v>
      </c>
      <c r="M292" s="44">
        <f t="shared" si="113"/>
        <v>100</v>
      </c>
      <c r="N292" s="44">
        <f t="shared" si="90"/>
        <v>0</v>
      </c>
      <c r="O292" s="44">
        <f t="shared" si="109"/>
        <v>100</v>
      </c>
      <c r="P292" s="44">
        <f t="shared" si="91"/>
        <v>0</v>
      </c>
      <c r="Q292" s="44" t="str">
        <f t="shared" si="110"/>
        <v>-</v>
      </c>
      <c r="R292" s="44">
        <f t="shared" si="92"/>
        <v>0</v>
      </c>
      <c r="S292" s="44" t="str">
        <f t="shared" si="111"/>
        <v>-</v>
      </c>
      <c r="T292" s="44">
        <f t="shared" si="93"/>
        <v>0</v>
      </c>
    </row>
    <row r="293" spans="1:20" ht="27" hidden="1" outlineLevel="3" x14ac:dyDescent="0.25">
      <c r="A293" s="188"/>
      <c r="B293" s="192" t="s">
        <v>676</v>
      </c>
      <c r="C293" s="44">
        <f t="shared" si="114"/>
        <v>474</v>
      </c>
      <c r="D293" s="128">
        <f>474</f>
        <v>474</v>
      </c>
      <c r="E293" s="128"/>
      <c r="F293" s="128"/>
      <c r="G293" s="128"/>
      <c r="H293" s="128">
        <f t="shared" si="112"/>
        <v>474</v>
      </c>
      <c r="I293" s="128">
        <f>474</f>
        <v>474</v>
      </c>
      <c r="J293" s="128"/>
      <c r="K293" s="128"/>
      <c r="L293" s="128"/>
      <c r="M293" s="44">
        <f t="shared" si="113"/>
        <v>100</v>
      </c>
      <c r="N293" s="44">
        <f t="shared" si="90"/>
        <v>0</v>
      </c>
      <c r="O293" s="44">
        <f t="shared" si="109"/>
        <v>100</v>
      </c>
      <c r="P293" s="44">
        <f t="shared" si="91"/>
        <v>0</v>
      </c>
      <c r="Q293" s="44" t="str">
        <f t="shared" si="110"/>
        <v>-</v>
      </c>
      <c r="R293" s="44">
        <f t="shared" si="92"/>
        <v>0</v>
      </c>
      <c r="S293" s="44" t="str">
        <f t="shared" si="111"/>
        <v>-</v>
      </c>
      <c r="T293" s="44">
        <f t="shared" si="93"/>
        <v>0</v>
      </c>
    </row>
    <row r="294" spans="1:20" s="23" customFormat="1" ht="54" collapsed="1" x14ac:dyDescent="0.25">
      <c r="A294" s="48">
        <v>19</v>
      </c>
      <c r="B294" s="127" t="s">
        <v>570</v>
      </c>
      <c r="C294" s="42">
        <f>SUM(D294:F294)</f>
        <v>56990</v>
      </c>
      <c r="D294" s="42">
        <f>D295+D299</f>
        <v>56990</v>
      </c>
      <c r="E294" s="42">
        <f>E295+E299</f>
        <v>0</v>
      </c>
      <c r="F294" s="42">
        <f>F295+F299</f>
        <v>0</v>
      </c>
      <c r="G294" s="42">
        <f>G295+G299</f>
        <v>0</v>
      </c>
      <c r="H294" s="42">
        <f t="shared" ref="H294:H302" si="116">SUM(I294:K294)</f>
        <v>47405.5</v>
      </c>
      <c r="I294" s="42">
        <f>I295+I300</f>
        <v>47405.5</v>
      </c>
      <c r="J294" s="42">
        <f>J295+J300</f>
        <v>0</v>
      </c>
      <c r="K294" s="42">
        <f>K295+K300</f>
        <v>0</v>
      </c>
      <c r="L294" s="42">
        <f>L295+L300</f>
        <v>0</v>
      </c>
      <c r="M294" s="42">
        <f t="shared" si="108"/>
        <v>83.2</v>
      </c>
      <c r="N294" s="42">
        <f>C294-H294</f>
        <v>9584.5</v>
      </c>
      <c r="O294" s="42">
        <f t="shared" si="109"/>
        <v>83.2</v>
      </c>
      <c r="P294" s="42">
        <f t="shared" si="91"/>
        <v>9584.5</v>
      </c>
      <c r="Q294" s="42" t="str">
        <f t="shared" si="110"/>
        <v>-</v>
      </c>
      <c r="R294" s="42">
        <f t="shared" si="92"/>
        <v>0</v>
      </c>
      <c r="S294" s="42" t="str">
        <f t="shared" si="111"/>
        <v>-</v>
      </c>
      <c r="T294" s="42">
        <f t="shared" si="93"/>
        <v>0</v>
      </c>
    </row>
    <row r="295" spans="1:20" s="22" customFormat="1" ht="27" hidden="1" customHeight="1" outlineLevel="1" x14ac:dyDescent="0.25">
      <c r="A295" s="6"/>
      <c r="B295" s="58" t="s">
        <v>54</v>
      </c>
      <c r="C295" s="59">
        <f>SUM(D295:F295)</f>
        <v>56890</v>
      </c>
      <c r="D295" s="59">
        <f>SUM(D296:D298)</f>
        <v>56890</v>
      </c>
      <c r="E295" s="59">
        <f>SUM(E296:E297)</f>
        <v>0</v>
      </c>
      <c r="F295" s="59">
        <f>SUM(F296:F297)</f>
        <v>0</v>
      </c>
      <c r="G295" s="59">
        <f>SUM(G296:G296)</f>
        <v>0</v>
      </c>
      <c r="H295" s="59">
        <f>SUM(I295:K295)</f>
        <v>47314.9</v>
      </c>
      <c r="I295" s="59">
        <f>SUM(I296:I298)</f>
        <v>47314.9</v>
      </c>
      <c r="J295" s="59">
        <f>SUM(J296:J297)</f>
        <v>0</v>
      </c>
      <c r="K295" s="59">
        <f>SUM(K296:K297)</f>
        <v>0</v>
      </c>
      <c r="L295" s="59">
        <f>SUM(L296:L296)</f>
        <v>0</v>
      </c>
      <c r="M295" s="59">
        <f t="shared" si="108"/>
        <v>83.2</v>
      </c>
      <c r="N295" s="59">
        <f>C295-H295</f>
        <v>9575.1</v>
      </c>
      <c r="O295" s="59">
        <f t="shared" si="109"/>
        <v>83.2</v>
      </c>
      <c r="P295" s="59">
        <f t="shared" si="91"/>
        <v>9575.1</v>
      </c>
      <c r="Q295" s="59" t="str">
        <f t="shared" si="110"/>
        <v>-</v>
      </c>
      <c r="R295" s="59">
        <f t="shared" si="92"/>
        <v>0</v>
      </c>
      <c r="S295" s="59" t="str">
        <f t="shared" si="111"/>
        <v>-</v>
      </c>
      <c r="T295" s="59">
        <f t="shared" si="93"/>
        <v>0</v>
      </c>
    </row>
    <row r="296" spans="1:20" ht="27" hidden="1" customHeight="1" outlineLevel="2" x14ac:dyDescent="0.25">
      <c r="A296" s="38"/>
      <c r="B296" s="39" t="s">
        <v>566</v>
      </c>
      <c r="C296" s="44">
        <f t="shared" ref="C296:C303" si="117">SUM(D296:F296)</f>
        <v>46464.9</v>
      </c>
      <c r="D296" s="44">
        <v>46464.9</v>
      </c>
      <c r="E296" s="44">
        <v>0</v>
      </c>
      <c r="F296" s="44">
        <v>0</v>
      </c>
      <c r="G296" s="44">
        <v>0</v>
      </c>
      <c r="H296" s="44">
        <f t="shared" si="116"/>
        <v>46464.9</v>
      </c>
      <c r="I296" s="44">
        <v>46464.9</v>
      </c>
      <c r="J296" s="44">
        <v>0</v>
      </c>
      <c r="K296" s="44">
        <v>0</v>
      </c>
      <c r="L296" s="44">
        <v>0</v>
      </c>
      <c r="M296" s="44">
        <f t="shared" si="108"/>
        <v>100</v>
      </c>
      <c r="N296" s="44">
        <f t="shared" si="90"/>
        <v>0</v>
      </c>
      <c r="O296" s="44">
        <f t="shared" si="109"/>
        <v>100</v>
      </c>
      <c r="P296" s="44">
        <f t="shared" si="91"/>
        <v>0</v>
      </c>
      <c r="Q296" s="44" t="str">
        <f t="shared" si="110"/>
        <v>-</v>
      </c>
      <c r="R296" s="44">
        <f t="shared" si="92"/>
        <v>0</v>
      </c>
      <c r="S296" s="44" t="str">
        <f t="shared" si="111"/>
        <v>-</v>
      </c>
      <c r="T296" s="44">
        <f t="shared" si="93"/>
        <v>0</v>
      </c>
    </row>
    <row r="297" spans="1:20" ht="27" hidden="1" customHeight="1" outlineLevel="2" x14ac:dyDescent="0.25">
      <c r="A297" s="38"/>
      <c r="B297" s="39" t="s">
        <v>567</v>
      </c>
      <c r="C297" s="44">
        <f t="shared" si="117"/>
        <v>9575.1</v>
      </c>
      <c r="D297" s="44">
        <v>9575.1</v>
      </c>
      <c r="E297" s="44">
        <v>0</v>
      </c>
      <c r="F297" s="44">
        <v>0</v>
      </c>
      <c r="G297" s="44">
        <v>0</v>
      </c>
      <c r="H297" s="44">
        <f t="shared" si="116"/>
        <v>0</v>
      </c>
      <c r="I297" s="44">
        <v>0</v>
      </c>
      <c r="J297" s="44">
        <v>0</v>
      </c>
      <c r="K297" s="44">
        <v>0</v>
      </c>
      <c r="L297" s="44">
        <v>0</v>
      </c>
      <c r="M297" s="44">
        <f t="shared" si="108"/>
        <v>0</v>
      </c>
      <c r="N297" s="44">
        <f t="shared" si="90"/>
        <v>9575.1</v>
      </c>
      <c r="O297" s="44">
        <f t="shared" si="109"/>
        <v>0</v>
      </c>
      <c r="P297" s="44">
        <f t="shared" si="91"/>
        <v>9575.1</v>
      </c>
      <c r="Q297" s="44" t="str">
        <f t="shared" si="110"/>
        <v>-</v>
      </c>
      <c r="R297" s="44">
        <f t="shared" si="92"/>
        <v>0</v>
      </c>
      <c r="S297" s="44" t="str">
        <f t="shared" si="111"/>
        <v>-</v>
      </c>
      <c r="T297" s="44">
        <f t="shared" si="93"/>
        <v>0</v>
      </c>
    </row>
    <row r="298" spans="1:20" ht="40.5" hidden="1" customHeight="1" outlineLevel="2" x14ac:dyDescent="0.25">
      <c r="A298" s="38"/>
      <c r="B298" s="39" t="s">
        <v>568</v>
      </c>
      <c r="C298" s="44">
        <f t="shared" si="117"/>
        <v>850</v>
      </c>
      <c r="D298" s="44">
        <v>850</v>
      </c>
      <c r="E298" s="44">
        <v>0</v>
      </c>
      <c r="F298" s="44">
        <v>0</v>
      </c>
      <c r="G298" s="44">
        <v>0</v>
      </c>
      <c r="H298" s="44">
        <f t="shared" si="116"/>
        <v>850</v>
      </c>
      <c r="I298" s="44">
        <v>850</v>
      </c>
      <c r="J298" s="44">
        <v>0</v>
      </c>
      <c r="K298" s="44">
        <v>0</v>
      </c>
      <c r="L298" s="44">
        <v>0</v>
      </c>
      <c r="M298" s="44">
        <f t="shared" si="108"/>
        <v>100</v>
      </c>
      <c r="N298" s="44">
        <f t="shared" si="90"/>
        <v>0</v>
      </c>
      <c r="O298" s="44">
        <f t="shared" si="109"/>
        <v>100</v>
      </c>
      <c r="P298" s="44">
        <f t="shared" si="91"/>
        <v>0</v>
      </c>
      <c r="Q298" s="44" t="str">
        <f t="shared" si="110"/>
        <v>-</v>
      </c>
      <c r="R298" s="44">
        <f t="shared" si="92"/>
        <v>0</v>
      </c>
      <c r="S298" s="44" t="str">
        <f t="shared" si="111"/>
        <v>-</v>
      </c>
      <c r="T298" s="44">
        <f t="shared" si="93"/>
        <v>0</v>
      </c>
    </row>
    <row r="299" spans="1:20" s="22" customFormat="1" hidden="1" outlineLevel="1" x14ac:dyDescent="0.25">
      <c r="A299" s="6"/>
      <c r="B299" s="58" t="s">
        <v>55</v>
      </c>
      <c r="C299" s="59">
        <f t="shared" si="117"/>
        <v>100</v>
      </c>
      <c r="D299" s="59">
        <f>D300</f>
        <v>100</v>
      </c>
      <c r="E299" s="59">
        <f>SUM(E300:E301)</f>
        <v>0</v>
      </c>
      <c r="F299" s="59">
        <f>SUM(F300:F301)</f>
        <v>0</v>
      </c>
      <c r="G299" s="59">
        <f>SUM(G300:G301)</f>
        <v>0</v>
      </c>
      <c r="H299" s="59">
        <f t="shared" si="116"/>
        <v>90.6</v>
      </c>
      <c r="I299" s="59">
        <f>SUM(I300)</f>
        <v>90.6</v>
      </c>
      <c r="J299" s="59">
        <f>SUM(J300:J301)</f>
        <v>0</v>
      </c>
      <c r="K299" s="59">
        <f>SUM(K300:K301)</f>
        <v>0</v>
      </c>
      <c r="L299" s="59">
        <f>SUM(L300:L301)</f>
        <v>0</v>
      </c>
      <c r="M299" s="59">
        <f t="shared" si="108"/>
        <v>90.6</v>
      </c>
      <c r="N299" s="59">
        <f t="shared" ref="N299:N311" si="118">C299-H299</f>
        <v>9.4</v>
      </c>
      <c r="O299" s="59">
        <f t="shared" si="109"/>
        <v>90.6</v>
      </c>
      <c r="P299" s="59">
        <f t="shared" ref="P299:P311" si="119">D299-I299</f>
        <v>9.4</v>
      </c>
      <c r="Q299" s="59" t="str">
        <f t="shared" si="110"/>
        <v>-</v>
      </c>
      <c r="R299" s="59">
        <f t="shared" ref="R299:R311" si="120">E299-J299</f>
        <v>0</v>
      </c>
      <c r="S299" s="59" t="str">
        <f t="shared" si="111"/>
        <v>-</v>
      </c>
      <c r="T299" s="59">
        <f t="shared" ref="T299:T311" si="121">F299-K299</f>
        <v>0</v>
      </c>
    </row>
    <row r="300" spans="1:20" ht="27" hidden="1" customHeight="1" outlineLevel="2" x14ac:dyDescent="0.25">
      <c r="A300" s="6"/>
      <c r="B300" s="46" t="s">
        <v>569</v>
      </c>
      <c r="C300" s="44">
        <f t="shared" si="117"/>
        <v>100</v>
      </c>
      <c r="D300" s="44">
        <v>100</v>
      </c>
      <c r="E300" s="44">
        <v>0</v>
      </c>
      <c r="F300" s="44">
        <v>0</v>
      </c>
      <c r="G300" s="44">
        <v>0</v>
      </c>
      <c r="H300" s="44">
        <f t="shared" si="116"/>
        <v>90.6</v>
      </c>
      <c r="I300" s="44">
        <v>90.6</v>
      </c>
      <c r="J300" s="44">
        <v>0</v>
      </c>
      <c r="K300" s="44">
        <v>0</v>
      </c>
      <c r="L300" s="44">
        <v>0</v>
      </c>
      <c r="M300" s="44">
        <f>IFERROR(H300/C300*100,"-")</f>
        <v>90.6</v>
      </c>
      <c r="N300" s="44">
        <f t="shared" si="118"/>
        <v>9.4</v>
      </c>
      <c r="O300" s="44">
        <f t="shared" si="109"/>
        <v>90.6</v>
      </c>
      <c r="P300" s="44">
        <f t="shared" si="119"/>
        <v>9.4</v>
      </c>
      <c r="Q300" s="44" t="str">
        <f t="shared" si="110"/>
        <v>-</v>
      </c>
      <c r="R300" s="44">
        <f t="shared" si="120"/>
        <v>0</v>
      </c>
      <c r="S300" s="44" t="str">
        <f t="shared" si="111"/>
        <v>-</v>
      </c>
      <c r="T300" s="44">
        <f t="shared" si="121"/>
        <v>0</v>
      </c>
    </row>
    <row r="301" spans="1:20" ht="27" hidden="1" customHeight="1" outlineLevel="2" x14ac:dyDescent="0.25">
      <c r="A301" s="32"/>
      <c r="B301" s="46" t="s">
        <v>56</v>
      </c>
      <c r="C301" s="44">
        <f t="shared" si="117"/>
        <v>445190.1</v>
      </c>
      <c r="D301" s="44">
        <v>445190.1</v>
      </c>
      <c r="E301" s="44">
        <v>0</v>
      </c>
      <c r="F301" s="44">
        <v>0</v>
      </c>
      <c r="G301" s="44">
        <v>0</v>
      </c>
      <c r="H301" s="44">
        <f t="shared" si="116"/>
        <v>445190.1</v>
      </c>
      <c r="I301" s="44">
        <v>445190.1</v>
      </c>
      <c r="J301" s="44">
        <v>0</v>
      </c>
      <c r="K301" s="44">
        <v>0</v>
      </c>
      <c r="L301" s="44">
        <v>0</v>
      </c>
      <c r="M301" s="44">
        <f t="shared" si="108"/>
        <v>100</v>
      </c>
      <c r="N301" s="44">
        <f t="shared" si="118"/>
        <v>0</v>
      </c>
      <c r="O301" s="44">
        <f t="shared" si="109"/>
        <v>100</v>
      </c>
      <c r="P301" s="44"/>
      <c r="Q301" s="44" t="str">
        <f t="shared" si="110"/>
        <v>-</v>
      </c>
      <c r="R301" s="44">
        <f t="shared" si="120"/>
        <v>0</v>
      </c>
      <c r="S301" s="44" t="str">
        <f t="shared" si="111"/>
        <v>-</v>
      </c>
      <c r="T301" s="44">
        <f t="shared" si="121"/>
        <v>0</v>
      </c>
    </row>
    <row r="302" spans="1:20" ht="27" hidden="1" customHeight="1" x14ac:dyDescent="0.25">
      <c r="A302" s="32"/>
      <c r="B302" s="27" t="s">
        <v>68</v>
      </c>
      <c r="C302" s="44">
        <f t="shared" si="117"/>
        <v>0</v>
      </c>
      <c r="D302" s="44">
        <v>0</v>
      </c>
      <c r="E302" s="44">
        <v>0</v>
      </c>
      <c r="F302" s="44">
        <v>0</v>
      </c>
      <c r="G302" s="44">
        <v>0</v>
      </c>
      <c r="H302" s="44">
        <f t="shared" si="116"/>
        <v>0</v>
      </c>
      <c r="I302" s="44">
        <v>0</v>
      </c>
      <c r="J302" s="44">
        <v>0</v>
      </c>
      <c r="K302" s="44">
        <v>0</v>
      </c>
      <c r="L302" s="5">
        <v>0</v>
      </c>
      <c r="M302" s="12">
        <v>0</v>
      </c>
      <c r="N302" s="12">
        <f t="shared" si="118"/>
        <v>0</v>
      </c>
      <c r="O302" s="12">
        <v>0</v>
      </c>
      <c r="P302" s="12">
        <f t="shared" si="119"/>
        <v>0</v>
      </c>
      <c r="Q302" s="12">
        <v>0</v>
      </c>
      <c r="R302" s="12">
        <f t="shared" si="120"/>
        <v>0</v>
      </c>
      <c r="S302" s="12">
        <v>0</v>
      </c>
      <c r="T302" s="12">
        <f t="shared" si="121"/>
        <v>0</v>
      </c>
    </row>
    <row r="303" spans="1:20" s="23" customFormat="1" ht="47.25" customHeight="1" collapsed="1" x14ac:dyDescent="0.25">
      <c r="A303" s="48">
        <v>20</v>
      </c>
      <c r="B303" s="41" t="s">
        <v>278</v>
      </c>
      <c r="C303" s="42">
        <f t="shared" si="117"/>
        <v>160525.4</v>
      </c>
      <c r="D303" s="42">
        <f>SUM(D304:D308)</f>
        <v>30950.799999999999</v>
      </c>
      <c r="E303" s="42">
        <f>SUM(E304:E308)</f>
        <v>127457.8</v>
      </c>
      <c r="F303" s="42">
        <f>SUM(F304:F308)</f>
        <v>2116.8000000000002</v>
      </c>
      <c r="G303" s="42">
        <f>SUM(G304:G307)</f>
        <v>0</v>
      </c>
      <c r="H303" s="42">
        <f>SUM(I303:K303)</f>
        <v>160525.4</v>
      </c>
      <c r="I303" s="42">
        <f>SUM(I304:I308)</f>
        <v>30950.799999999999</v>
      </c>
      <c r="J303" s="42">
        <f>SUM(J304:J308)</f>
        <v>127457.8</v>
      </c>
      <c r="K303" s="42">
        <f>SUM(K304:K308)</f>
        <v>2116.8000000000002</v>
      </c>
      <c r="L303" s="42">
        <f>SUM(L304:L308)</f>
        <v>0</v>
      </c>
      <c r="M303" s="42">
        <f t="shared" si="108"/>
        <v>100</v>
      </c>
      <c r="N303" s="42">
        <f t="shared" si="118"/>
        <v>0</v>
      </c>
      <c r="O303" s="42">
        <f t="shared" si="109"/>
        <v>100</v>
      </c>
      <c r="P303" s="42">
        <f t="shared" si="119"/>
        <v>0</v>
      </c>
      <c r="Q303" s="42">
        <f t="shared" si="110"/>
        <v>100</v>
      </c>
      <c r="R303" s="42">
        <f t="shared" si="120"/>
        <v>0</v>
      </c>
      <c r="S303" s="42">
        <f t="shared" si="111"/>
        <v>100</v>
      </c>
      <c r="T303" s="42">
        <f t="shared" si="121"/>
        <v>0</v>
      </c>
    </row>
    <row r="304" spans="1:20" ht="40.5" hidden="1" outlineLevel="1" x14ac:dyDescent="0.25">
      <c r="A304" s="70"/>
      <c r="B304" s="46" t="s">
        <v>571</v>
      </c>
      <c r="C304" s="44">
        <f>SUM(D304:G304)</f>
        <v>114465</v>
      </c>
      <c r="D304" s="44">
        <v>1627.2</v>
      </c>
      <c r="E304" s="44">
        <v>112837.8</v>
      </c>
      <c r="F304" s="44">
        <v>0</v>
      </c>
      <c r="G304" s="44">
        <v>0</v>
      </c>
      <c r="H304" s="44">
        <f>SUM(I304:L304)</f>
        <v>114465</v>
      </c>
      <c r="I304" s="44">
        <v>1627.2</v>
      </c>
      <c r="J304" s="44">
        <v>112837.8</v>
      </c>
      <c r="K304" s="44">
        <v>0</v>
      </c>
      <c r="L304" s="44">
        <v>0</v>
      </c>
      <c r="M304" s="71">
        <f t="shared" si="108"/>
        <v>100</v>
      </c>
      <c r="N304" s="71">
        <f t="shared" si="118"/>
        <v>0</v>
      </c>
      <c r="O304" s="71">
        <f t="shared" si="109"/>
        <v>100</v>
      </c>
      <c r="P304" s="71">
        <f t="shared" si="119"/>
        <v>0</v>
      </c>
      <c r="Q304" s="71">
        <f t="shared" si="110"/>
        <v>100</v>
      </c>
      <c r="R304" s="71">
        <f t="shared" si="120"/>
        <v>0</v>
      </c>
      <c r="S304" s="71" t="str">
        <f t="shared" si="111"/>
        <v>-</v>
      </c>
      <c r="T304" s="71">
        <f t="shared" si="121"/>
        <v>0</v>
      </c>
    </row>
    <row r="305" spans="1:20" ht="27" hidden="1" customHeight="1" outlineLevel="1" x14ac:dyDescent="0.25">
      <c r="A305" s="60"/>
      <c r="B305" s="46" t="s">
        <v>572</v>
      </c>
      <c r="C305" s="44">
        <f>SUM(D305:G305)</f>
        <v>25156.400000000001</v>
      </c>
      <c r="D305" s="44">
        <v>25156.400000000001</v>
      </c>
      <c r="E305" s="44">
        <v>0</v>
      </c>
      <c r="F305" s="44">
        <v>0</v>
      </c>
      <c r="G305" s="44">
        <v>0</v>
      </c>
      <c r="H305" s="44">
        <f>SUM(I305:L305)</f>
        <v>25156.400000000001</v>
      </c>
      <c r="I305" s="44">
        <v>25156.400000000001</v>
      </c>
      <c r="J305" s="44">
        <v>0</v>
      </c>
      <c r="K305" s="44">
        <v>0</v>
      </c>
      <c r="L305" s="44">
        <v>0</v>
      </c>
      <c r="M305" s="128">
        <f t="shared" si="108"/>
        <v>100</v>
      </c>
      <c r="N305" s="128">
        <f t="shared" si="118"/>
        <v>0</v>
      </c>
      <c r="O305" s="128">
        <f t="shared" si="109"/>
        <v>100</v>
      </c>
      <c r="P305" s="128">
        <f t="shared" si="119"/>
        <v>0</v>
      </c>
      <c r="Q305" s="128" t="str">
        <f t="shared" si="110"/>
        <v>-</v>
      </c>
      <c r="R305" s="128">
        <f t="shared" si="120"/>
        <v>0</v>
      </c>
      <c r="S305" s="128" t="str">
        <f t="shared" si="111"/>
        <v>-</v>
      </c>
      <c r="T305" s="128">
        <f t="shared" si="121"/>
        <v>0</v>
      </c>
    </row>
    <row r="306" spans="1:20" ht="67.5" hidden="1" customHeight="1" outlineLevel="1" x14ac:dyDescent="0.25">
      <c r="A306" s="60"/>
      <c r="B306" s="46" t="s">
        <v>573</v>
      </c>
      <c r="C306" s="44">
        <f>SUM(D306:G306)</f>
        <v>1350.9</v>
      </c>
      <c r="D306" s="44">
        <v>1350.9</v>
      </c>
      <c r="E306" s="44">
        <v>0</v>
      </c>
      <c r="F306" s="44">
        <v>0</v>
      </c>
      <c r="G306" s="44">
        <v>0</v>
      </c>
      <c r="H306" s="44">
        <f>SUM(I306:L306)</f>
        <v>1350.9</v>
      </c>
      <c r="I306" s="44">
        <v>1350.9</v>
      </c>
      <c r="J306" s="44">
        <v>0</v>
      </c>
      <c r="K306" s="44">
        <v>0</v>
      </c>
      <c r="L306" s="44">
        <v>0</v>
      </c>
      <c r="M306" s="44">
        <f t="shared" si="108"/>
        <v>100</v>
      </c>
      <c r="N306" s="44">
        <f t="shared" si="118"/>
        <v>0</v>
      </c>
      <c r="O306" s="44">
        <f t="shared" si="109"/>
        <v>100</v>
      </c>
      <c r="P306" s="44">
        <f t="shared" si="119"/>
        <v>0</v>
      </c>
      <c r="Q306" s="44" t="str">
        <f t="shared" si="110"/>
        <v>-</v>
      </c>
      <c r="R306" s="44">
        <f t="shared" si="120"/>
        <v>0</v>
      </c>
      <c r="S306" s="44" t="str">
        <f t="shared" si="111"/>
        <v>-</v>
      </c>
      <c r="T306" s="44">
        <f t="shared" si="121"/>
        <v>0</v>
      </c>
    </row>
    <row r="307" spans="1:20" ht="67.5" hidden="1" customHeight="1" outlineLevel="1" x14ac:dyDescent="0.25">
      <c r="A307" s="60"/>
      <c r="B307" s="46" t="s">
        <v>574</v>
      </c>
      <c r="C307" s="44">
        <f>SUM(D307:G307)</f>
        <v>17436.3</v>
      </c>
      <c r="D307" s="44">
        <v>2816.3</v>
      </c>
      <c r="E307" s="129">
        <v>14620</v>
      </c>
      <c r="F307" s="44">
        <v>0</v>
      </c>
      <c r="G307" s="44">
        <v>0</v>
      </c>
      <c r="H307" s="44">
        <f>SUM(I307:L307)</f>
        <v>17436.3</v>
      </c>
      <c r="I307" s="44">
        <v>2816.3</v>
      </c>
      <c r="J307" s="44">
        <v>14620</v>
      </c>
      <c r="K307" s="44">
        <v>0</v>
      </c>
      <c r="L307" s="44">
        <v>0</v>
      </c>
      <c r="M307" s="44">
        <f>IFERROR(H307/C307*100,"-")</f>
        <v>100</v>
      </c>
      <c r="N307" s="44">
        <f t="shared" si="118"/>
        <v>0</v>
      </c>
      <c r="O307" s="44">
        <f>IFERROR(I307/D307*100,"-")</f>
        <v>100</v>
      </c>
      <c r="P307" s="44">
        <f t="shared" si="119"/>
        <v>0</v>
      </c>
      <c r="Q307" s="44">
        <f>IFERROR(J307/E307*100,"-")</f>
        <v>100</v>
      </c>
      <c r="R307" s="44">
        <f t="shared" si="120"/>
        <v>0</v>
      </c>
      <c r="S307" s="44" t="str">
        <f>IFERROR(K307/F307*100,"-")</f>
        <v>-</v>
      </c>
      <c r="T307" s="44">
        <f t="shared" si="121"/>
        <v>0</v>
      </c>
    </row>
    <row r="308" spans="1:20" ht="27" hidden="1" customHeight="1" outlineLevel="1" x14ac:dyDescent="0.25">
      <c r="A308" s="60"/>
      <c r="B308" s="46" t="s">
        <v>575</v>
      </c>
      <c r="C308" s="44">
        <f>SUM(D308:G308)</f>
        <v>2116.8000000000002</v>
      </c>
      <c r="D308" s="44">
        <v>0</v>
      </c>
      <c r="E308" s="129">
        <v>0</v>
      </c>
      <c r="F308" s="44">
        <v>2116.8000000000002</v>
      </c>
      <c r="G308" s="44">
        <v>0</v>
      </c>
      <c r="H308" s="44">
        <f>SUM(I308:L308)</f>
        <v>2116.8000000000002</v>
      </c>
      <c r="I308" s="44">
        <v>0</v>
      </c>
      <c r="J308" s="44">
        <v>0</v>
      </c>
      <c r="K308" s="44">
        <v>2116.8000000000002</v>
      </c>
      <c r="L308" s="44">
        <v>0</v>
      </c>
      <c r="M308" s="44">
        <f>IFERROR(H308/C308*100,"-")</f>
        <v>100</v>
      </c>
      <c r="N308" s="44">
        <f t="shared" si="118"/>
        <v>0</v>
      </c>
      <c r="O308" s="44" t="str">
        <f>IFERROR(I308/D308*100,"-")</f>
        <v>-</v>
      </c>
      <c r="P308" s="44">
        <f t="shared" si="119"/>
        <v>0</v>
      </c>
      <c r="Q308" s="44" t="str">
        <f>IFERROR(J308/E308*100,"-")</f>
        <v>-</v>
      </c>
      <c r="R308" s="44">
        <f t="shared" si="120"/>
        <v>0</v>
      </c>
      <c r="S308" s="44">
        <f>IFERROR(K308/F308*100,"-")</f>
        <v>100</v>
      </c>
      <c r="T308" s="44">
        <f t="shared" si="121"/>
        <v>0</v>
      </c>
    </row>
    <row r="309" spans="1:20" s="24" customFormat="1" ht="100.5" customHeight="1" collapsed="1" x14ac:dyDescent="0.25">
      <c r="A309" s="203">
        <v>21</v>
      </c>
      <c r="B309" s="204" t="s">
        <v>578</v>
      </c>
      <c r="C309" s="42">
        <f>D309+E309+F309</f>
        <v>38943.199999999997</v>
      </c>
      <c r="D309" s="42">
        <f>D310+D311</f>
        <v>13791.8</v>
      </c>
      <c r="E309" s="42">
        <f>E310+E311</f>
        <v>21826.9</v>
      </c>
      <c r="F309" s="42">
        <f>F310+F311</f>
        <v>3324.5</v>
      </c>
      <c r="G309" s="42">
        <f>G310+G311</f>
        <v>0</v>
      </c>
      <c r="H309" s="42">
        <f>I309+J309+K309</f>
        <v>38768.1</v>
      </c>
      <c r="I309" s="42">
        <f>I310+I311</f>
        <v>13616.7</v>
      </c>
      <c r="J309" s="42">
        <f>J310+J311</f>
        <v>21826.9</v>
      </c>
      <c r="K309" s="42">
        <f>K310+K311</f>
        <v>3324.5</v>
      </c>
      <c r="L309" s="42">
        <f>L310+L311</f>
        <v>0</v>
      </c>
      <c r="M309" s="42">
        <f>IFERROR(H309/C309*100,"-")</f>
        <v>99.6</v>
      </c>
      <c r="N309" s="42">
        <f t="shared" si="118"/>
        <v>175.1</v>
      </c>
      <c r="O309" s="42">
        <f>IFERROR(I309/D309*100,"-")</f>
        <v>98.7</v>
      </c>
      <c r="P309" s="42">
        <f t="shared" si="119"/>
        <v>175.1</v>
      </c>
      <c r="Q309" s="42">
        <f>IFERROR(J309/E309*100,"-")</f>
        <v>100</v>
      </c>
      <c r="R309" s="42">
        <f t="shared" si="120"/>
        <v>0</v>
      </c>
      <c r="S309" s="42">
        <f>IFERROR(K309/F309*100,"-")</f>
        <v>100</v>
      </c>
      <c r="T309" s="42">
        <f t="shared" si="121"/>
        <v>0</v>
      </c>
    </row>
    <row r="310" spans="1:20" ht="27" hidden="1" customHeight="1" outlineLevel="1" x14ac:dyDescent="0.25">
      <c r="A310" s="60"/>
      <c r="B310" s="46" t="s">
        <v>576</v>
      </c>
      <c r="C310" s="132">
        <f>D310+E310+F310</f>
        <v>13689.1</v>
      </c>
      <c r="D310" s="45">
        <v>10176.5</v>
      </c>
      <c r="E310" s="133">
        <v>2458.8000000000002</v>
      </c>
      <c r="F310" s="45">
        <v>1053.8</v>
      </c>
      <c r="G310" s="45"/>
      <c r="H310" s="132">
        <f>I310+J310+K310</f>
        <v>13514.8</v>
      </c>
      <c r="I310" s="45">
        <v>10002.200000000001</v>
      </c>
      <c r="J310" s="44">
        <v>2458.8000000000002</v>
      </c>
      <c r="K310" s="44">
        <v>1053.8</v>
      </c>
      <c r="L310" s="44"/>
      <c r="M310" s="44">
        <f>IFERROR(H310/C310*100,"-")</f>
        <v>98.7</v>
      </c>
      <c r="N310" s="44">
        <f t="shared" si="118"/>
        <v>174.3</v>
      </c>
      <c r="O310" s="44">
        <f>IFERROR(I310/D310*100,"-")</f>
        <v>98.3</v>
      </c>
      <c r="P310" s="44">
        <f t="shared" si="119"/>
        <v>174.3</v>
      </c>
      <c r="Q310" s="44">
        <f>IFERROR(J310/E310*100,"-")</f>
        <v>100</v>
      </c>
      <c r="R310" s="44">
        <f t="shared" si="120"/>
        <v>0</v>
      </c>
      <c r="S310" s="44">
        <f>IFERROR(K310/F310*100,"-")</f>
        <v>100</v>
      </c>
      <c r="T310" s="44">
        <f t="shared" si="121"/>
        <v>0</v>
      </c>
    </row>
    <row r="311" spans="1:20" ht="40.5" hidden="1" customHeight="1" outlineLevel="1" x14ac:dyDescent="0.25">
      <c r="A311" s="60"/>
      <c r="B311" s="46" t="s">
        <v>577</v>
      </c>
      <c r="C311" s="132">
        <f>D311+E311+F311</f>
        <v>25254.1</v>
      </c>
      <c r="D311" s="45">
        <v>3615.3</v>
      </c>
      <c r="E311" s="133">
        <v>19368.099999999999</v>
      </c>
      <c r="F311" s="45">
        <v>2270.6999999999998</v>
      </c>
      <c r="G311" s="45"/>
      <c r="H311" s="132">
        <f>I311+J311+K311</f>
        <v>25253.3</v>
      </c>
      <c r="I311" s="45">
        <v>3614.5</v>
      </c>
      <c r="J311" s="44">
        <v>19368.099999999999</v>
      </c>
      <c r="K311" s="44">
        <v>2270.6999999999998</v>
      </c>
      <c r="L311" s="44"/>
      <c r="M311" s="44">
        <f>IFERROR(H311/C311*100,"-")</f>
        <v>100</v>
      </c>
      <c r="N311" s="44">
        <f t="shared" si="118"/>
        <v>0.8</v>
      </c>
      <c r="O311" s="44">
        <f>IFERROR(I311/D311*100,"-")</f>
        <v>100</v>
      </c>
      <c r="P311" s="44">
        <f t="shared" si="119"/>
        <v>0.8</v>
      </c>
      <c r="Q311" s="44">
        <f>IFERROR(J311/E311*100,"-")</f>
        <v>100</v>
      </c>
      <c r="R311" s="44">
        <f t="shared" si="120"/>
        <v>0</v>
      </c>
      <c r="S311" s="44">
        <f>IFERROR(K311/F311*100,"-")</f>
        <v>100</v>
      </c>
      <c r="T311" s="44">
        <f t="shared" si="121"/>
        <v>0</v>
      </c>
    </row>
    <row r="312" spans="1:20" x14ac:dyDescent="0.25">
      <c r="A312" s="57" t="s">
        <v>57</v>
      </c>
      <c r="B312" s="130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131"/>
      <c r="N312" s="131"/>
      <c r="O312" s="131"/>
      <c r="P312" s="131"/>
      <c r="Q312" s="131"/>
      <c r="R312" s="131"/>
      <c r="S312" s="131"/>
      <c r="T312" s="131"/>
    </row>
    <row r="313" spans="1:20" x14ac:dyDescent="0.25">
      <c r="A313" s="57"/>
      <c r="B313" s="130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131"/>
      <c r="N313" s="131"/>
      <c r="O313" s="131"/>
      <c r="P313" s="131"/>
      <c r="Q313" s="131"/>
      <c r="R313" s="131"/>
      <c r="S313" s="131"/>
      <c r="T313" s="131"/>
    </row>
    <row r="314" spans="1:20" x14ac:dyDescent="0.25">
      <c r="A314" s="57"/>
      <c r="B314" s="130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131"/>
      <c r="N314" s="131"/>
      <c r="O314" s="131"/>
      <c r="P314" s="131"/>
      <c r="Q314" s="131"/>
      <c r="R314" s="131"/>
      <c r="S314" s="131"/>
      <c r="T314" s="131"/>
    </row>
    <row r="315" spans="1:20" ht="15.75" x14ac:dyDescent="0.25">
      <c r="A315" s="214" t="s">
        <v>395</v>
      </c>
      <c r="B315" s="214"/>
      <c r="C315" s="214"/>
      <c r="D315" s="214"/>
      <c r="E315" s="214"/>
      <c r="F315" s="214"/>
      <c r="G315" s="214"/>
      <c r="H315" s="214"/>
      <c r="I315" s="214"/>
      <c r="J315" s="214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</row>
    <row r="316" spans="1:20" x14ac:dyDescent="0.25">
      <c r="A316" s="131"/>
      <c r="B316" s="130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131"/>
      <c r="N316" s="131"/>
      <c r="O316" s="131"/>
      <c r="P316" s="131"/>
      <c r="Q316" s="131"/>
      <c r="R316" s="131"/>
      <c r="S316" s="131"/>
      <c r="T316" s="131"/>
    </row>
    <row r="317" spans="1:20" x14ac:dyDescent="0.25">
      <c r="A317" s="130" t="s">
        <v>424</v>
      </c>
      <c r="B317" s="130" t="s">
        <v>456</v>
      </c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131"/>
      <c r="N317" s="131"/>
      <c r="O317" s="131"/>
      <c r="P317" s="131"/>
      <c r="Q317" s="131"/>
      <c r="R317" s="131"/>
      <c r="S317" s="131"/>
      <c r="T317" s="131"/>
    </row>
  </sheetData>
  <dataConsolidate/>
  <mergeCells count="25">
    <mergeCell ref="I5:K5"/>
    <mergeCell ref="K6:K7"/>
    <mergeCell ref="O6:P6"/>
    <mergeCell ref="Q6:R6"/>
    <mergeCell ref="M5:N6"/>
    <mergeCell ref="O5:T5"/>
    <mergeCell ref="E6:E7"/>
    <mergeCell ref="F6:F7"/>
    <mergeCell ref="I6:I7"/>
    <mergeCell ref="J6:J7"/>
    <mergeCell ref="S6:T6"/>
    <mergeCell ref="A315:T315"/>
    <mergeCell ref="A1:T1"/>
    <mergeCell ref="A2:T2"/>
    <mergeCell ref="A4:A7"/>
    <mergeCell ref="B4:B7"/>
    <mergeCell ref="C5:C7"/>
    <mergeCell ref="C4:F4"/>
    <mergeCell ref="D5:F5"/>
    <mergeCell ref="G4:G7"/>
    <mergeCell ref="L4:L7"/>
    <mergeCell ref="H4:K4"/>
    <mergeCell ref="H5:H7"/>
    <mergeCell ref="M4:T4"/>
    <mergeCell ref="D6:D7"/>
  </mergeCells>
  <printOptions horizontalCentered="1"/>
  <pageMargins left="0" right="0" top="0.59055118110236227" bottom="0" header="0.31496062992125984" footer="0"/>
  <pageSetup paperSize="9" scale="46" fitToHeight="50" orientation="landscape" blackAndWhite="1" r:id="rId1"/>
  <headerFooter differentFirst="1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R250"/>
  <sheetViews>
    <sheetView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8" sqref="B8"/>
    </sheetView>
  </sheetViews>
  <sheetFormatPr defaultRowHeight="14.25" outlineLevelRow="2" x14ac:dyDescent="0.25"/>
  <cols>
    <col min="1" max="1" width="5.7109375" style="2" customWidth="1"/>
    <col min="2" max="2" width="52.42578125" style="2" customWidth="1"/>
    <col min="3" max="3" width="8" style="2" customWidth="1"/>
    <col min="4" max="4" width="12.42578125" style="2" customWidth="1"/>
    <col min="5" max="5" width="14.140625" style="2" customWidth="1"/>
    <col min="6" max="6" width="12" style="2" customWidth="1"/>
    <col min="7" max="7" width="11.5703125" style="2" customWidth="1"/>
    <col min="8" max="8" width="30" style="2" customWidth="1"/>
    <col min="9" max="16384" width="9.140625" style="2"/>
  </cols>
  <sheetData>
    <row r="1" spans="1:18" s="14" customFormat="1" ht="20.25" customHeight="1" x14ac:dyDescent="0.25">
      <c r="A1" s="235" t="s">
        <v>71</v>
      </c>
      <c r="B1" s="235"/>
      <c r="C1" s="235"/>
      <c r="D1" s="235"/>
      <c r="E1" s="235"/>
      <c r="F1" s="235"/>
      <c r="G1" s="235"/>
      <c r="H1" s="235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s="14" customFormat="1" ht="20.25" customHeight="1" x14ac:dyDescent="0.25">
      <c r="A2" s="236" t="s">
        <v>667</v>
      </c>
      <c r="B2" s="236"/>
      <c r="C2" s="236"/>
      <c r="D2" s="236"/>
      <c r="E2" s="236"/>
      <c r="F2" s="236"/>
      <c r="G2" s="236"/>
      <c r="H2" s="236"/>
      <c r="I2" s="13"/>
      <c r="J2" s="13"/>
      <c r="K2" s="13"/>
      <c r="L2" s="13"/>
      <c r="M2" s="13"/>
      <c r="N2" s="13"/>
      <c r="O2" s="13"/>
      <c r="P2" s="13"/>
      <c r="Q2" s="13"/>
      <c r="R2" s="13"/>
    </row>
    <row r="4" spans="1:18" ht="18.75" customHeight="1" x14ac:dyDescent="0.25">
      <c r="A4" s="216" t="s">
        <v>0</v>
      </c>
      <c r="B4" s="216" t="s">
        <v>72</v>
      </c>
      <c r="C4" s="216" t="s">
        <v>73</v>
      </c>
      <c r="D4" s="216" t="s">
        <v>74</v>
      </c>
      <c r="E4" s="216" t="s">
        <v>75</v>
      </c>
      <c r="F4" s="237" t="s">
        <v>275</v>
      </c>
      <c r="G4" s="237" t="s">
        <v>98</v>
      </c>
      <c r="H4" s="234" t="s">
        <v>76</v>
      </c>
    </row>
    <row r="5" spans="1:18" ht="67.5" customHeight="1" x14ac:dyDescent="0.25">
      <c r="A5" s="216"/>
      <c r="B5" s="216"/>
      <c r="C5" s="216"/>
      <c r="D5" s="216"/>
      <c r="E5" s="216"/>
      <c r="F5" s="238"/>
      <c r="G5" s="238"/>
      <c r="H5" s="234"/>
    </row>
    <row r="6" spans="1:18" s="64" customFormat="1" x14ac:dyDescent="0.25">
      <c r="A6" s="145" t="s">
        <v>77</v>
      </c>
      <c r="B6" s="239" t="s">
        <v>5</v>
      </c>
      <c r="C6" s="240"/>
      <c r="D6" s="240"/>
      <c r="E6" s="240"/>
      <c r="F6" s="240"/>
      <c r="G6" s="240"/>
      <c r="H6" s="241"/>
    </row>
    <row r="7" spans="1:18" s="66" customFormat="1" ht="67.5" outlineLevel="1" x14ac:dyDescent="0.25">
      <c r="A7" s="146" t="s">
        <v>77</v>
      </c>
      <c r="B7" s="141" t="s">
        <v>132</v>
      </c>
      <c r="C7" s="4" t="s">
        <v>97</v>
      </c>
      <c r="D7" s="4">
        <v>1100</v>
      </c>
      <c r="E7" s="121">
        <v>1200</v>
      </c>
      <c r="F7" s="4">
        <v>1000</v>
      </c>
      <c r="G7" s="147">
        <v>0.84699999999999998</v>
      </c>
      <c r="H7" s="148" t="s">
        <v>134</v>
      </c>
    </row>
    <row r="8" spans="1:18" s="66" customFormat="1" ht="67.5" outlineLevel="1" x14ac:dyDescent="0.25">
      <c r="A8" s="146" t="s">
        <v>78</v>
      </c>
      <c r="B8" s="141" t="s">
        <v>133</v>
      </c>
      <c r="C8" s="4" t="s">
        <v>102</v>
      </c>
      <c r="D8" s="4">
        <v>4200</v>
      </c>
      <c r="E8" s="121">
        <v>4240</v>
      </c>
      <c r="F8" s="4">
        <v>4160</v>
      </c>
      <c r="G8" s="147">
        <f>F8/E8</f>
        <v>0.98099999999999998</v>
      </c>
      <c r="H8" s="148" t="s">
        <v>134</v>
      </c>
    </row>
    <row r="9" spans="1:18" s="66" customFormat="1" ht="67.5" outlineLevel="1" x14ac:dyDescent="0.25">
      <c r="A9" s="146" t="s">
        <v>79</v>
      </c>
      <c r="B9" s="141" t="s">
        <v>135</v>
      </c>
      <c r="C9" s="4" t="s">
        <v>102</v>
      </c>
      <c r="D9" s="4">
        <v>365</v>
      </c>
      <c r="E9" s="121">
        <v>390</v>
      </c>
      <c r="F9" s="4">
        <v>348</v>
      </c>
      <c r="G9" s="147">
        <f>F9/E9</f>
        <v>0.89200000000000002</v>
      </c>
      <c r="H9" s="148" t="s">
        <v>134</v>
      </c>
    </row>
    <row r="10" spans="1:18" s="66" customFormat="1" ht="67.5" outlineLevel="1" x14ac:dyDescent="0.25">
      <c r="A10" s="146" t="s">
        <v>80</v>
      </c>
      <c r="B10" s="141" t="s">
        <v>175</v>
      </c>
      <c r="C10" s="4" t="s">
        <v>69</v>
      </c>
      <c r="D10" s="4">
        <v>24.56</v>
      </c>
      <c r="E10" s="121">
        <v>24.8</v>
      </c>
      <c r="F10" s="4">
        <v>25.7</v>
      </c>
      <c r="G10" s="147">
        <f>F10/E10</f>
        <v>1.036</v>
      </c>
      <c r="H10" s="148" t="s">
        <v>134</v>
      </c>
    </row>
    <row r="11" spans="1:18" s="64" customFormat="1" x14ac:dyDescent="0.25">
      <c r="A11" s="155" t="s">
        <v>78</v>
      </c>
      <c r="B11" s="242" t="s">
        <v>10</v>
      </c>
      <c r="C11" s="243"/>
      <c r="D11" s="243"/>
      <c r="E11" s="243"/>
      <c r="F11" s="243"/>
      <c r="G11" s="243"/>
      <c r="H11" s="244"/>
    </row>
    <row r="12" spans="1:18" s="67" customFormat="1" ht="15" customHeight="1" outlineLevel="1" x14ac:dyDescent="0.25">
      <c r="A12" s="65"/>
      <c r="B12" s="245" t="s">
        <v>176</v>
      </c>
      <c r="C12" s="246"/>
      <c r="D12" s="246"/>
      <c r="E12" s="246"/>
      <c r="F12" s="246"/>
      <c r="G12" s="246"/>
      <c r="H12" s="247"/>
    </row>
    <row r="13" spans="1:18" s="67" customFormat="1" ht="40.5" outlineLevel="2" x14ac:dyDescent="0.25">
      <c r="A13" s="149" t="s">
        <v>414</v>
      </c>
      <c r="B13" s="150" t="s">
        <v>177</v>
      </c>
      <c r="C13" s="151" t="s">
        <v>69</v>
      </c>
      <c r="D13" s="149">
        <v>87.5</v>
      </c>
      <c r="E13" s="149">
        <v>97</v>
      </c>
      <c r="F13" s="149">
        <v>97</v>
      </c>
      <c r="G13" s="147">
        <f t="shared" ref="G13:G23" si="0">F13/E13</f>
        <v>1</v>
      </c>
      <c r="H13" s="4" t="s">
        <v>366</v>
      </c>
    </row>
    <row r="14" spans="1:18" s="67" customFormat="1" ht="54" outlineLevel="2" x14ac:dyDescent="0.25">
      <c r="A14" s="149" t="s">
        <v>415</v>
      </c>
      <c r="B14" s="150" t="s">
        <v>178</v>
      </c>
      <c r="C14" s="151" t="s">
        <v>69</v>
      </c>
      <c r="D14" s="149">
        <v>100</v>
      </c>
      <c r="E14" s="149">
        <v>100</v>
      </c>
      <c r="F14" s="149">
        <v>100</v>
      </c>
      <c r="G14" s="147">
        <f t="shared" si="0"/>
        <v>1</v>
      </c>
      <c r="H14" s="4" t="s">
        <v>169</v>
      </c>
    </row>
    <row r="15" spans="1:18" s="67" customFormat="1" ht="94.5" outlineLevel="2" x14ac:dyDescent="0.25">
      <c r="A15" s="149" t="s">
        <v>416</v>
      </c>
      <c r="B15" s="150" t="s">
        <v>179</v>
      </c>
      <c r="C15" s="151" t="s">
        <v>69</v>
      </c>
      <c r="D15" s="149">
        <v>30</v>
      </c>
      <c r="E15" s="149">
        <v>80</v>
      </c>
      <c r="F15" s="149">
        <v>85</v>
      </c>
      <c r="G15" s="147">
        <f t="shared" si="0"/>
        <v>1.0629999999999999</v>
      </c>
      <c r="H15" s="4" t="s">
        <v>592</v>
      </c>
    </row>
    <row r="16" spans="1:18" s="67" customFormat="1" ht="67.5" outlineLevel="2" x14ac:dyDescent="0.25">
      <c r="A16" s="149" t="s">
        <v>417</v>
      </c>
      <c r="B16" s="150" t="s">
        <v>180</v>
      </c>
      <c r="C16" s="151" t="s">
        <v>69</v>
      </c>
      <c r="D16" s="149">
        <v>80</v>
      </c>
      <c r="E16" s="149">
        <v>93</v>
      </c>
      <c r="F16" s="149">
        <v>99</v>
      </c>
      <c r="G16" s="147">
        <f t="shared" si="0"/>
        <v>1.0649999999999999</v>
      </c>
      <c r="H16" s="4" t="s">
        <v>440</v>
      </c>
    </row>
    <row r="17" spans="1:8" s="67" customFormat="1" ht="54" outlineLevel="2" x14ac:dyDescent="0.25">
      <c r="A17" s="149" t="s">
        <v>418</v>
      </c>
      <c r="B17" s="150" t="s">
        <v>181</v>
      </c>
      <c r="C17" s="151" t="s">
        <v>69</v>
      </c>
      <c r="D17" s="149">
        <v>100</v>
      </c>
      <c r="E17" s="149">
        <v>100</v>
      </c>
      <c r="F17" s="149">
        <v>100</v>
      </c>
      <c r="G17" s="147">
        <f t="shared" si="0"/>
        <v>1</v>
      </c>
      <c r="H17" s="4" t="s">
        <v>169</v>
      </c>
    </row>
    <row r="18" spans="1:8" s="67" customFormat="1" ht="54" outlineLevel="2" x14ac:dyDescent="0.25">
      <c r="A18" s="149" t="s">
        <v>419</v>
      </c>
      <c r="B18" s="150" t="s">
        <v>182</v>
      </c>
      <c r="C18" s="149" t="s">
        <v>69</v>
      </c>
      <c r="D18" s="149">
        <v>35</v>
      </c>
      <c r="E18" s="149">
        <v>48</v>
      </c>
      <c r="F18" s="149">
        <v>54.5</v>
      </c>
      <c r="G18" s="147">
        <f t="shared" si="0"/>
        <v>1.135</v>
      </c>
      <c r="H18" s="4" t="s">
        <v>593</v>
      </c>
    </row>
    <row r="19" spans="1:8" s="67" customFormat="1" ht="54" outlineLevel="2" x14ac:dyDescent="0.25">
      <c r="A19" s="149" t="s">
        <v>420</v>
      </c>
      <c r="B19" s="150" t="s">
        <v>183</v>
      </c>
      <c r="C19" s="149" t="s">
        <v>69</v>
      </c>
      <c r="D19" s="149">
        <v>100</v>
      </c>
      <c r="E19" s="149">
        <v>100</v>
      </c>
      <c r="F19" s="149">
        <v>100</v>
      </c>
      <c r="G19" s="147">
        <f t="shared" si="0"/>
        <v>1</v>
      </c>
      <c r="H19" s="4" t="s">
        <v>169</v>
      </c>
    </row>
    <row r="20" spans="1:8" s="67" customFormat="1" ht="54" outlineLevel="2" x14ac:dyDescent="0.25">
      <c r="A20" s="149" t="s">
        <v>421</v>
      </c>
      <c r="B20" s="150" t="s">
        <v>184</v>
      </c>
      <c r="C20" s="151" t="s">
        <v>69</v>
      </c>
      <c r="D20" s="4">
        <v>46</v>
      </c>
      <c r="E20" s="4">
        <v>57.4</v>
      </c>
      <c r="F20" s="4">
        <v>61</v>
      </c>
      <c r="G20" s="147">
        <f t="shared" si="0"/>
        <v>1.0629999999999999</v>
      </c>
      <c r="H20" s="4" t="s">
        <v>594</v>
      </c>
    </row>
    <row r="21" spans="1:8" s="67" customFormat="1" ht="94.5" outlineLevel="2" x14ac:dyDescent="0.25">
      <c r="A21" s="149" t="s">
        <v>422</v>
      </c>
      <c r="B21" s="152" t="s">
        <v>461</v>
      </c>
      <c r="C21" s="151" t="s">
        <v>69</v>
      </c>
      <c r="D21" s="4"/>
      <c r="E21" s="4">
        <v>15</v>
      </c>
      <c r="F21" s="4">
        <v>17.5</v>
      </c>
      <c r="G21" s="147">
        <f t="shared" si="0"/>
        <v>1.167</v>
      </c>
      <c r="H21" s="153" t="s">
        <v>440</v>
      </c>
    </row>
    <row r="22" spans="1:8" s="67" customFormat="1" ht="40.5" outlineLevel="2" x14ac:dyDescent="0.25">
      <c r="A22" s="149" t="s">
        <v>464</v>
      </c>
      <c r="B22" s="152" t="s">
        <v>462</v>
      </c>
      <c r="C22" s="151" t="s">
        <v>69</v>
      </c>
      <c r="D22" s="4"/>
      <c r="E22" s="4">
        <v>14</v>
      </c>
      <c r="F22" s="4">
        <v>16</v>
      </c>
      <c r="G22" s="147">
        <f t="shared" si="0"/>
        <v>1.143</v>
      </c>
      <c r="H22" s="153" t="s">
        <v>440</v>
      </c>
    </row>
    <row r="23" spans="1:8" s="67" customFormat="1" ht="40.5" outlineLevel="2" x14ac:dyDescent="0.25">
      <c r="A23" s="149" t="s">
        <v>465</v>
      </c>
      <c r="B23" s="152" t="s">
        <v>463</v>
      </c>
      <c r="C23" s="151" t="s">
        <v>69</v>
      </c>
      <c r="D23" s="4"/>
      <c r="E23" s="4">
        <v>0.8</v>
      </c>
      <c r="F23" s="4">
        <v>4.2</v>
      </c>
      <c r="G23" s="147">
        <f t="shared" si="0"/>
        <v>5.25</v>
      </c>
      <c r="H23" s="153" t="s">
        <v>440</v>
      </c>
    </row>
    <row r="24" spans="1:8" s="67" customFormat="1" ht="15" customHeight="1" outlineLevel="1" x14ac:dyDescent="0.25">
      <c r="A24" s="65"/>
      <c r="B24" s="245" t="s">
        <v>185</v>
      </c>
      <c r="C24" s="246"/>
      <c r="D24" s="246"/>
      <c r="E24" s="246"/>
      <c r="F24" s="246"/>
      <c r="G24" s="246"/>
      <c r="H24" s="247"/>
    </row>
    <row r="25" spans="1:8" s="67" customFormat="1" ht="81" outlineLevel="2" x14ac:dyDescent="0.25">
      <c r="A25" s="149" t="s">
        <v>425</v>
      </c>
      <c r="B25" s="150" t="s">
        <v>186</v>
      </c>
      <c r="C25" s="151" t="s">
        <v>69</v>
      </c>
      <c r="D25" s="4">
        <v>1.63</v>
      </c>
      <c r="E25" s="4">
        <v>1.44</v>
      </c>
      <c r="F25" s="4">
        <v>1.22</v>
      </c>
      <c r="G25" s="147">
        <f>F25/E25</f>
        <v>0.84699999999999998</v>
      </c>
      <c r="H25" s="153" t="s">
        <v>440</v>
      </c>
    </row>
    <row r="26" spans="1:8" s="67" customFormat="1" ht="27" outlineLevel="2" x14ac:dyDescent="0.25">
      <c r="A26" s="149" t="s">
        <v>426</v>
      </c>
      <c r="B26" s="150" t="s">
        <v>187</v>
      </c>
      <c r="C26" s="151" t="s">
        <v>69</v>
      </c>
      <c r="D26" s="4">
        <v>0.43</v>
      </c>
      <c r="E26" s="4">
        <v>0.21</v>
      </c>
      <c r="F26" s="4">
        <v>0</v>
      </c>
      <c r="G26" s="147">
        <v>1</v>
      </c>
      <c r="H26" s="4" t="s">
        <v>595</v>
      </c>
    </row>
    <row r="27" spans="1:8" s="67" customFormat="1" ht="55.5" customHeight="1" outlineLevel="2" x14ac:dyDescent="0.25">
      <c r="A27" s="149" t="s">
        <v>427</v>
      </c>
      <c r="B27" s="150" t="s">
        <v>188</v>
      </c>
      <c r="C27" s="151" t="s">
        <v>69</v>
      </c>
      <c r="D27" s="4">
        <v>35</v>
      </c>
      <c r="E27" s="4">
        <v>42</v>
      </c>
      <c r="F27" s="4">
        <v>61.4</v>
      </c>
      <c r="G27" s="147">
        <f>F27/E27</f>
        <v>1.462</v>
      </c>
      <c r="H27" s="4" t="s">
        <v>596</v>
      </c>
    </row>
    <row r="28" spans="1:8" s="67" customFormat="1" outlineLevel="1" x14ac:dyDescent="0.25">
      <c r="A28" s="146"/>
      <c r="B28" s="245" t="s">
        <v>189</v>
      </c>
      <c r="C28" s="246"/>
      <c r="D28" s="246"/>
      <c r="E28" s="246"/>
      <c r="F28" s="246"/>
      <c r="G28" s="246"/>
      <c r="H28" s="247"/>
    </row>
    <row r="29" spans="1:8" s="67" customFormat="1" ht="54" outlineLevel="2" x14ac:dyDescent="0.25">
      <c r="A29" s="149" t="s">
        <v>428</v>
      </c>
      <c r="B29" s="150" t="s">
        <v>598</v>
      </c>
      <c r="C29" s="149" t="s">
        <v>69</v>
      </c>
      <c r="D29" s="149">
        <v>97</v>
      </c>
      <c r="E29" s="149">
        <v>100</v>
      </c>
      <c r="F29" s="149">
        <v>100</v>
      </c>
      <c r="G29" s="154">
        <f>F29/E29</f>
        <v>1</v>
      </c>
      <c r="H29" s="151" t="s">
        <v>297</v>
      </c>
    </row>
    <row r="30" spans="1:8" s="67" customFormat="1" ht="54" outlineLevel="2" x14ac:dyDescent="0.25">
      <c r="A30" s="149" t="s">
        <v>429</v>
      </c>
      <c r="B30" s="150" t="s">
        <v>597</v>
      </c>
      <c r="C30" s="149" t="s">
        <v>97</v>
      </c>
      <c r="D30" s="149">
        <v>1765</v>
      </c>
      <c r="E30" s="149">
        <v>1970</v>
      </c>
      <c r="F30" s="149">
        <v>1970</v>
      </c>
      <c r="G30" s="154">
        <f>F30/E30</f>
        <v>1</v>
      </c>
      <c r="H30" s="151" t="s">
        <v>298</v>
      </c>
    </row>
    <row r="31" spans="1:8" s="67" customFormat="1" ht="40.5" outlineLevel="2" x14ac:dyDescent="0.25">
      <c r="A31" s="149" t="s">
        <v>430</v>
      </c>
      <c r="B31" s="150" t="s">
        <v>599</v>
      </c>
      <c r="C31" s="149" t="s">
        <v>69</v>
      </c>
      <c r="D31" s="149">
        <v>100</v>
      </c>
      <c r="E31" s="149">
        <v>100</v>
      </c>
      <c r="F31" s="149">
        <v>100</v>
      </c>
      <c r="G31" s="154">
        <f>F31/E31</f>
        <v>1</v>
      </c>
      <c r="H31" s="151" t="s">
        <v>440</v>
      </c>
    </row>
    <row r="32" spans="1:8" s="67" customFormat="1" ht="68.25" customHeight="1" outlineLevel="2" x14ac:dyDescent="0.25">
      <c r="A32" s="149" t="s">
        <v>431</v>
      </c>
      <c r="B32" s="152" t="s">
        <v>600</v>
      </c>
      <c r="C32" s="149" t="s">
        <v>69</v>
      </c>
      <c r="D32" s="149">
        <v>100</v>
      </c>
      <c r="E32" s="149">
        <v>100</v>
      </c>
      <c r="F32" s="149">
        <v>100</v>
      </c>
      <c r="G32" s="154">
        <f>F32/E32</f>
        <v>1</v>
      </c>
      <c r="H32" s="151" t="s">
        <v>440</v>
      </c>
    </row>
    <row r="33" spans="1:8" s="67" customFormat="1" outlineLevel="1" x14ac:dyDescent="0.25">
      <c r="A33" s="146"/>
      <c r="B33" s="245" t="s">
        <v>190</v>
      </c>
      <c r="C33" s="246"/>
      <c r="D33" s="246"/>
      <c r="E33" s="246"/>
      <c r="F33" s="246"/>
      <c r="G33" s="246"/>
      <c r="H33" s="247"/>
    </row>
    <row r="34" spans="1:8" s="66" customFormat="1" ht="54" outlineLevel="2" x14ac:dyDescent="0.25">
      <c r="A34" s="149" t="s">
        <v>441</v>
      </c>
      <c r="B34" s="141" t="s">
        <v>191</v>
      </c>
      <c r="C34" s="149" t="s">
        <v>69</v>
      </c>
      <c r="D34" s="149">
        <v>20</v>
      </c>
      <c r="E34" s="149">
        <v>60</v>
      </c>
      <c r="F34" s="149">
        <v>60</v>
      </c>
      <c r="G34" s="154">
        <f>F34/E34</f>
        <v>1</v>
      </c>
      <c r="H34" s="4" t="s">
        <v>297</v>
      </c>
    </row>
    <row r="35" spans="1:8" s="64" customFormat="1" ht="15.75" customHeight="1" x14ac:dyDescent="0.25">
      <c r="A35" s="1" t="s">
        <v>79</v>
      </c>
      <c r="B35" s="227" t="s">
        <v>155</v>
      </c>
      <c r="C35" s="228"/>
      <c r="D35" s="228"/>
      <c r="E35" s="228"/>
      <c r="F35" s="228"/>
      <c r="G35" s="228"/>
      <c r="H35" s="229"/>
    </row>
    <row r="36" spans="1:8" s="68" customFormat="1" ht="15.75" customHeight="1" outlineLevel="1" x14ac:dyDescent="0.25">
      <c r="A36" s="100"/>
      <c r="B36" s="231" t="s">
        <v>192</v>
      </c>
      <c r="C36" s="232"/>
      <c r="D36" s="232"/>
      <c r="E36" s="232"/>
      <c r="F36" s="232"/>
      <c r="G36" s="232"/>
      <c r="H36" s="233"/>
    </row>
    <row r="37" spans="1:8" s="68" customFormat="1" ht="40.5" customHeight="1" outlineLevel="2" x14ac:dyDescent="0.25">
      <c r="A37" s="92" t="s">
        <v>414</v>
      </c>
      <c r="B37" s="95" t="s">
        <v>193</v>
      </c>
      <c r="C37" s="123" t="s">
        <v>102</v>
      </c>
      <c r="D37" s="3">
        <v>6455</v>
      </c>
      <c r="E37" s="3">
        <v>4380</v>
      </c>
      <c r="F37" s="3">
        <v>4693</v>
      </c>
      <c r="G37" s="103">
        <f>F37/E37</f>
        <v>1.071</v>
      </c>
      <c r="H37" s="123" t="s">
        <v>143</v>
      </c>
    </row>
    <row r="38" spans="1:8" s="68" customFormat="1" ht="54" customHeight="1" outlineLevel="2" x14ac:dyDescent="0.25">
      <c r="A38" s="92" t="s">
        <v>415</v>
      </c>
      <c r="B38" s="95" t="s">
        <v>194</v>
      </c>
      <c r="C38" s="123" t="s">
        <v>102</v>
      </c>
      <c r="D38" s="3">
        <v>2690</v>
      </c>
      <c r="E38" s="3">
        <v>970</v>
      </c>
      <c r="F38" s="3">
        <v>1658</v>
      </c>
      <c r="G38" s="103">
        <f>F38/E38</f>
        <v>1.7090000000000001</v>
      </c>
      <c r="H38" s="123" t="s">
        <v>143</v>
      </c>
    </row>
    <row r="39" spans="1:8" s="68" customFormat="1" ht="80.25" customHeight="1" outlineLevel="2" x14ac:dyDescent="0.25">
      <c r="A39" s="92" t="s">
        <v>416</v>
      </c>
      <c r="B39" s="95" t="s">
        <v>617</v>
      </c>
      <c r="C39" s="123" t="s">
        <v>97</v>
      </c>
      <c r="D39" s="3" t="s">
        <v>109</v>
      </c>
      <c r="E39" s="3">
        <v>6</v>
      </c>
      <c r="F39" s="3">
        <v>8</v>
      </c>
      <c r="G39" s="103">
        <f>F39/E39</f>
        <v>1.333</v>
      </c>
      <c r="H39" s="123" t="s">
        <v>614</v>
      </c>
    </row>
    <row r="40" spans="1:8" s="68" customFormat="1" ht="15" customHeight="1" outlineLevel="1" x14ac:dyDescent="0.25">
      <c r="A40" s="92"/>
      <c r="B40" s="231" t="s">
        <v>195</v>
      </c>
      <c r="C40" s="232"/>
      <c r="D40" s="232"/>
      <c r="E40" s="232"/>
      <c r="F40" s="232"/>
      <c r="G40" s="232"/>
      <c r="H40" s="233"/>
    </row>
    <row r="41" spans="1:8" s="68" customFormat="1" ht="40.5" customHeight="1" outlineLevel="2" x14ac:dyDescent="0.25">
      <c r="A41" s="92" t="s">
        <v>425</v>
      </c>
      <c r="B41" s="95" t="s">
        <v>196</v>
      </c>
      <c r="C41" s="123" t="s">
        <v>97</v>
      </c>
      <c r="D41" s="3">
        <v>8</v>
      </c>
      <c r="E41" s="3">
        <v>4</v>
      </c>
      <c r="F41" s="3">
        <v>7</v>
      </c>
      <c r="G41" s="103">
        <f>F41/E41</f>
        <v>1.75</v>
      </c>
      <c r="H41" s="123" t="s">
        <v>143</v>
      </c>
    </row>
    <row r="42" spans="1:8" s="68" customFormat="1" ht="67.5" outlineLevel="2" x14ac:dyDescent="0.25">
      <c r="A42" s="92" t="s">
        <v>426</v>
      </c>
      <c r="B42" s="95" t="s">
        <v>144</v>
      </c>
      <c r="C42" s="123" t="s">
        <v>97</v>
      </c>
      <c r="D42" s="3">
        <v>105</v>
      </c>
      <c r="E42" s="3">
        <v>48</v>
      </c>
      <c r="F42" s="3">
        <v>61</v>
      </c>
      <c r="G42" s="103">
        <f>F42/E42</f>
        <v>1.2709999999999999</v>
      </c>
      <c r="H42" s="123" t="s">
        <v>344</v>
      </c>
    </row>
    <row r="43" spans="1:8" s="68" customFormat="1" ht="67.5" outlineLevel="2" x14ac:dyDescent="0.25">
      <c r="A43" s="92" t="s">
        <v>427</v>
      </c>
      <c r="B43" s="95" t="s">
        <v>197</v>
      </c>
      <c r="C43" s="123" t="s">
        <v>102</v>
      </c>
      <c r="D43" s="3">
        <v>8815</v>
      </c>
      <c r="E43" s="3">
        <v>3400</v>
      </c>
      <c r="F43" s="3">
        <v>3545</v>
      </c>
      <c r="G43" s="103">
        <f>F43/E43</f>
        <v>1.0429999999999999</v>
      </c>
      <c r="H43" s="123" t="s">
        <v>344</v>
      </c>
    </row>
    <row r="44" spans="1:8" s="68" customFormat="1" outlineLevel="2" x14ac:dyDescent="0.25">
      <c r="A44" s="92"/>
      <c r="B44" s="231" t="s">
        <v>12</v>
      </c>
      <c r="C44" s="232"/>
      <c r="D44" s="232"/>
      <c r="E44" s="232"/>
      <c r="F44" s="232"/>
      <c r="G44" s="232"/>
      <c r="H44" s="233"/>
    </row>
    <row r="45" spans="1:8" s="68" customFormat="1" ht="40.5" outlineLevel="2" x14ac:dyDescent="0.25">
      <c r="A45" s="92" t="s">
        <v>428</v>
      </c>
      <c r="B45" s="95" t="s">
        <v>198</v>
      </c>
      <c r="C45" s="3" t="s">
        <v>69</v>
      </c>
      <c r="D45" s="3">
        <v>100</v>
      </c>
      <c r="E45" s="3">
        <v>100</v>
      </c>
      <c r="F45" s="3">
        <v>100</v>
      </c>
      <c r="G45" s="101">
        <f t="shared" ref="G45:G50" si="1">F45/E45</f>
        <v>1</v>
      </c>
      <c r="H45" s="123" t="s">
        <v>143</v>
      </c>
    </row>
    <row r="46" spans="1:8" s="68" customFormat="1" ht="40.5" outlineLevel="2" x14ac:dyDescent="0.25">
      <c r="A46" s="92" t="s">
        <v>429</v>
      </c>
      <c r="B46" s="98" t="s">
        <v>610</v>
      </c>
      <c r="C46" s="3" t="s">
        <v>69</v>
      </c>
      <c r="D46" s="3">
        <v>100</v>
      </c>
      <c r="E46" s="3">
        <v>100</v>
      </c>
      <c r="F46" s="3">
        <v>100</v>
      </c>
      <c r="G46" s="101">
        <f t="shared" si="1"/>
        <v>1</v>
      </c>
      <c r="H46" s="156" t="s">
        <v>614</v>
      </c>
    </row>
    <row r="47" spans="1:8" s="68" customFormat="1" ht="67.5" outlineLevel="2" x14ac:dyDescent="0.25">
      <c r="A47" s="92" t="s">
        <v>430</v>
      </c>
      <c r="B47" s="98" t="s">
        <v>611</v>
      </c>
      <c r="C47" s="3" t="s">
        <v>69</v>
      </c>
      <c r="D47" s="3">
        <v>100</v>
      </c>
      <c r="E47" s="3">
        <v>100</v>
      </c>
      <c r="F47" s="3">
        <v>100</v>
      </c>
      <c r="G47" s="101">
        <f t="shared" si="1"/>
        <v>1</v>
      </c>
      <c r="H47" s="156" t="s">
        <v>615</v>
      </c>
    </row>
    <row r="48" spans="1:8" s="68" customFormat="1" ht="54" outlineLevel="2" x14ac:dyDescent="0.25">
      <c r="A48" s="92" t="s">
        <v>431</v>
      </c>
      <c r="B48" s="98" t="s">
        <v>612</v>
      </c>
      <c r="C48" s="3" t="s">
        <v>69</v>
      </c>
      <c r="D48" s="3">
        <v>100</v>
      </c>
      <c r="E48" s="3">
        <v>100</v>
      </c>
      <c r="F48" s="3">
        <v>100</v>
      </c>
      <c r="G48" s="101">
        <f t="shared" si="1"/>
        <v>1</v>
      </c>
      <c r="H48" s="123" t="s">
        <v>143</v>
      </c>
    </row>
    <row r="49" spans="1:8" s="68" customFormat="1" ht="54" outlineLevel="2" x14ac:dyDescent="0.25">
      <c r="A49" s="92" t="s">
        <v>432</v>
      </c>
      <c r="B49" s="98" t="s">
        <v>613</v>
      </c>
      <c r="C49" s="3" t="s">
        <v>69</v>
      </c>
      <c r="D49" s="3">
        <v>100</v>
      </c>
      <c r="E49" s="3">
        <v>100</v>
      </c>
      <c r="F49" s="3">
        <v>100</v>
      </c>
      <c r="G49" s="101">
        <f t="shared" si="1"/>
        <v>1</v>
      </c>
      <c r="H49" s="156" t="s">
        <v>346</v>
      </c>
    </row>
    <row r="50" spans="1:8" s="68" customFormat="1" ht="54" outlineLevel="2" x14ac:dyDescent="0.25">
      <c r="A50" s="157" t="s">
        <v>616</v>
      </c>
      <c r="B50" s="98" t="s">
        <v>607</v>
      </c>
      <c r="C50" s="3" t="s">
        <v>69</v>
      </c>
      <c r="D50" s="3">
        <v>100</v>
      </c>
      <c r="E50" s="3">
        <v>100</v>
      </c>
      <c r="F50" s="149">
        <v>0</v>
      </c>
      <c r="G50" s="101">
        <f t="shared" si="1"/>
        <v>0</v>
      </c>
      <c r="H50" s="156" t="s">
        <v>614</v>
      </c>
    </row>
    <row r="51" spans="1:8" s="33" customFormat="1" ht="15" customHeight="1" x14ac:dyDescent="0.25">
      <c r="A51" s="1" t="s">
        <v>80</v>
      </c>
      <c r="B51" s="227" t="s">
        <v>14</v>
      </c>
      <c r="C51" s="228"/>
      <c r="D51" s="228"/>
      <c r="E51" s="228"/>
      <c r="F51" s="228"/>
      <c r="G51" s="228"/>
      <c r="H51" s="229"/>
    </row>
    <row r="52" spans="1:8" s="68" customFormat="1" ht="40.5" customHeight="1" outlineLevel="2" x14ac:dyDescent="0.25">
      <c r="A52" s="92" t="s">
        <v>77</v>
      </c>
      <c r="B52" s="95" t="s">
        <v>145</v>
      </c>
      <c r="C52" s="123" t="s">
        <v>102</v>
      </c>
      <c r="D52" s="3">
        <v>257</v>
      </c>
      <c r="E52" s="3">
        <v>306</v>
      </c>
      <c r="F52" s="3">
        <v>338</v>
      </c>
      <c r="G52" s="103">
        <f>F52/E52</f>
        <v>1.105</v>
      </c>
      <c r="H52" s="123" t="s">
        <v>143</v>
      </c>
    </row>
    <row r="53" spans="1:8" s="68" customFormat="1" ht="54" outlineLevel="2" x14ac:dyDescent="0.25">
      <c r="A53" s="92" t="s">
        <v>78</v>
      </c>
      <c r="B53" s="95" t="s">
        <v>199</v>
      </c>
      <c r="C53" s="123" t="s">
        <v>102</v>
      </c>
      <c r="D53" s="3" t="s">
        <v>109</v>
      </c>
      <c r="E53" s="3">
        <v>76</v>
      </c>
      <c r="F53" s="3">
        <v>99</v>
      </c>
      <c r="G53" s="103">
        <f>F53/E53</f>
        <v>1.3029999999999999</v>
      </c>
      <c r="H53" s="123" t="s">
        <v>343</v>
      </c>
    </row>
    <row r="54" spans="1:8" s="68" customFormat="1" ht="54" outlineLevel="2" x14ac:dyDescent="0.25">
      <c r="A54" s="92" t="s">
        <v>79</v>
      </c>
      <c r="B54" s="95" t="s">
        <v>398</v>
      </c>
      <c r="C54" s="123" t="s">
        <v>69</v>
      </c>
      <c r="D54" s="3">
        <v>25</v>
      </c>
      <c r="E54" s="3">
        <v>66</v>
      </c>
      <c r="F54" s="3">
        <v>49</v>
      </c>
      <c r="G54" s="103">
        <f>F54/E54</f>
        <v>0.74199999999999999</v>
      </c>
      <c r="H54" s="123" t="s">
        <v>399</v>
      </c>
    </row>
    <row r="55" spans="1:8" s="33" customFormat="1" ht="15" customHeight="1" x14ac:dyDescent="0.25">
      <c r="A55" s="1" t="s">
        <v>81</v>
      </c>
      <c r="B55" s="227" t="s">
        <v>20</v>
      </c>
      <c r="C55" s="228"/>
      <c r="D55" s="228"/>
      <c r="E55" s="228"/>
      <c r="F55" s="228"/>
      <c r="G55" s="228"/>
      <c r="H55" s="229"/>
    </row>
    <row r="56" spans="1:8" s="68" customFormat="1" ht="15" customHeight="1" outlineLevel="1" x14ac:dyDescent="0.25">
      <c r="A56" s="100"/>
      <c r="B56" s="231" t="s">
        <v>202</v>
      </c>
      <c r="C56" s="232"/>
      <c r="D56" s="232"/>
      <c r="E56" s="232"/>
      <c r="F56" s="232"/>
      <c r="G56" s="232"/>
      <c r="H56" s="233"/>
    </row>
    <row r="57" spans="1:8" s="68" customFormat="1" outlineLevel="2" x14ac:dyDescent="0.25">
      <c r="A57" s="92" t="s">
        <v>414</v>
      </c>
      <c r="B57" s="95" t="s">
        <v>200</v>
      </c>
      <c r="C57" s="80" t="s">
        <v>127</v>
      </c>
      <c r="D57" s="3">
        <v>5028</v>
      </c>
      <c r="E57" s="3">
        <v>6160</v>
      </c>
      <c r="F57" s="3">
        <v>6275</v>
      </c>
      <c r="G57" s="101">
        <f t="shared" ref="G57:G62" si="2">F57/E57</f>
        <v>1.02</v>
      </c>
      <c r="H57" s="102" t="s">
        <v>333</v>
      </c>
    </row>
    <row r="58" spans="1:8" s="68" customFormat="1" ht="27" outlineLevel="2" x14ac:dyDescent="0.25">
      <c r="A58" s="92" t="s">
        <v>415</v>
      </c>
      <c r="B58" s="95" t="s">
        <v>128</v>
      </c>
      <c r="C58" s="80" t="s">
        <v>69</v>
      </c>
      <c r="D58" s="3">
        <v>77.900000000000006</v>
      </c>
      <c r="E58" s="3">
        <v>100</v>
      </c>
      <c r="F58" s="3">
        <v>100</v>
      </c>
      <c r="G58" s="101">
        <f t="shared" si="2"/>
        <v>1</v>
      </c>
      <c r="H58" s="102" t="s">
        <v>333</v>
      </c>
    </row>
    <row r="59" spans="1:8" s="68" customFormat="1" ht="27" outlineLevel="2" x14ac:dyDescent="0.25">
      <c r="A59" s="92" t="s">
        <v>416</v>
      </c>
      <c r="B59" s="95" t="s">
        <v>406</v>
      </c>
      <c r="C59" s="80" t="s">
        <v>405</v>
      </c>
      <c r="D59" s="3">
        <v>3.8</v>
      </c>
      <c r="E59" s="99">
        <v>4</v>
      </c>
      <c r="F59" s="3">
        <v>4.0999999999999996</v>
      </c>
      <c r="G59" s="101">
        <f t="shared" si="2"/>
        <v>1.03</v>
      </c>
      <c r="H59" s="102" t="s">
        <v>333</v>
      </c>
    </row>
    <row r="60" spans="1:8" s="68" customFormat="1" ht="27" outlineLevel="2" x14ac:dyDescent="0.25">
      <c r="A60" s="92" t="s">
        <v>417</v>
      </c>
      <c r="B60" s="95" t="s">
        <v>215</v>
      </c>
      <c r="C60" s="80" t="s">
        <v>405</v>
      </c>
      <c r="D60" s="3">
        <v>0.66</v>
      </c>
      <c r="E60" s="3">
        <v>0.67</v>
      </c>
      <c r="F60" s="3">
        <v>0.67</v>
      </c>
      <c r="G60" s="101">
        <f t="shared" si="2"/>
        <v>1</v>
      </c>
      <c r="H60" s="102" t="s">
        <v>331</v>
      </c>
    </row>
    <row r="61" spans="1:8" s="68" customFormat="1" ht="27" outlineLevel="2" x14ac:dyDescent="0.25">
      <c r="A61" s="92" t="s">
        <v>418</v>
      </c>
      <c r="B61" s="95" t="s">
        <v>201</v>
      </c>
      <c r="C61" s="80" t="s">
        <v>69</v>
      </c>
      <c r="D61" s="3">
        <v>96</v>
      </c>
      <c r="E61" s="3">
        <v>188</v>
      </c>
      <c r="F61" s="3">
        <v>188</v>
      </c>
      <c r="G61" s="101">
        <f t="shared" si="2"/>
        <v>1</v>
      </c>
      <c r="H61" s="39" t="s">
        <v>332</v>
      </c>
    </row>
    <row r="62" spans="1:8" s="68" customFormat="1" ht="40.5" outlineLevel="2" x14ac:dyDescent="0.25">
      <c r="A62" s="92" t="s">
        <v>419</v>
      </c>
      <c r="B62" s="95" t="s">
        <v>407</v>
      </c>
      <c r="C62" s="80" t="s">
        <v>69</v>
      </c>
      <c r="D62" s="3">
        <v>59</v>
      </c>
      <c r="E62" s="3">
        <v>100</v>
      </c>
      <c r="F62" s="3">
        <v>100</v>
      </c>
      <c r="G62" s="101">
        <f t="shared" si="2"/>
        <v>1</v>
      </c>
      <c r="H62" s="102" t="s">
        <v>333</v>
      </c>
    </row>
    <row r="63" spans="1:8" s="68" customFormat="1" ht="15" customHeight="1" outlineLevel="1" x14ac:dyDescent="0.25">
      <c r="A63" s="100"/>
      <c r="B63" s="231" t="s">
        <v>203</v>
      </c>
      <c r="C63" s="232"/>
      <c r="D63" s="232"/>
      <c r="E63" s="232"/>
      <c r="F63" s="232"/>
      <c r="G63" s="232"/>
      <c r="H63" s="233"/>
    </row>
    <row r="64" spans="1:8" s="68" customFormat="1" ht="40.5" customHeight="1" outlineLevel="2" x14ac:dyDescent="0.25">
      <c r="A64" s="92" t="s">
        <v>425</v>
      </c>
      <c r="B64" s="95" t="s">
        <v>408</v>
      </c>
      <c r="C64" s="80" t="s">
        <v>69</v>
      </c>
      <c r="D64" s="79">
        <v>6.6</v>
      </c>
      <c r="E64" s="79">
        <v>7.2</v>
      </c>
      <c r="F64" s="79">
        <v>7.2</v>
      </c>
      <c r="G64" s="101">
        <f>F64/E64</f>
        <v>1</v>
      </c>
      <c r="H64" s="39" t="s">
        <v>334</v>
      </c>
    </row>
    <row r="65" spans="1:8" s="68" customFormat="1" ht="27" outlineLevel="2" x14ac:dyDescent="0.25">
      <c r="A65" s="92" t="s">
        <v>426</v>
      </c>
      <c r="B65" s="95" t="s">
        <v>204</v>
      </c>
      <c r="C65" s="80" t="s">
        <v>69</v>
      </c>
      <c r="D65" s="79">
        <v>7.3</v>
      </c>
      <c r="E65" s="97">
        <v>8</v>
      </c>
      <c r="F65" s="97">
        <v>8</v>
      </c>
      <c r="G65" s="101">
        <f>F65/E65</f>
        <v>1</v>
      </c>
      <c r="H65" s="102" t="s">
        <v>333</v>
      </c>
    </row>
    <row r="66" spans="1:8" s="68" customFormat="1" ht="94.5" outlineLevel="2" x14ac:dyDescent="0.25">
      <c r="A66" s="92" t="s">
        <v>427</v>
      </c>
      <c r="B66" s="98" t="s">
        <v>457</v>
      </c>
      <c r="C66" s="80" t="s">
        <v>69</v>
      </c>
      <c r="D66" s="79">
        <v>0</v>
      </c>
      <c r="E66" s="79">
        <v>15</v>
      </c>
      <c r="F66" s="79">
        <v>18.7</v>
      </c>
      <c r="G66" s="101">
        <f>F66/E66</f>
        <v>1.25</v>
      </c>
      <c r="H66" s="39" t="s">
        <v>460</v>
      </c>
    </row>
    <row r="67" spans="1:8" s="68" customFormat="1" ht="81" outlineLevel="2" x14ac:dyDescent="0.25">
      <c r="A67" s="92" t="s">
        <v>433</v>
      </c>
      <c r="B67" s="98" t="s">
        <v>458</v>
      </c>
      <c r="C67" s="80" t="s">
        <v>69</v>
      </c>
      <c r="D67" s="79">
        <v>0</v>
      </c>
      <c r="E67" s="79">
        <v>30</v>
      </c>
      <c r="F67" s="79">
        <v>47.3</v>
      </c>
      <c r="G67" s="101">
        <f>F67/E67</f>
        <v>1.58</v>
      </c>
      <c r="H67" s="39" t="s">
        <v>460</v>
      </c>
    </row>
    <row r="68" spans="1:8" s="68" customFormat="1" ht="67.5" outlineLevel="2" x14ac:dyDescent="0.25">
      <c r="A68" s="92" t="s">
        <v>434</v>
      </c>
      <c r="B68" s="98" t="s">
        <v>459</v>
      </c>
      <c r="C68" s="80" t="s">
        <v>69</v>
      </c>
      <c r="D68" s="79">
        <v>0</v>
      </c>
      <c r="E68" s="79">
        <v>2.1</v>
      </c>
      <c r="F68" s="79">
        <v>3.4</v>
      </c>
      <c r="G68" s="101">
        <f>F68/E68</f>
        <v>1.62</v>
      </c>
      <c r="H68" s="39" t="s">
        <v>460</v>
      </c>
    </row>
    <row r="69" spans="1:8" s="68" customFormat="1" ht="28.5" customHeight="1" outlineLevel="1" x14ac:dyDescent="0.25">
      <c r="A69" s="100"/>
      <c r="B69" s="231" t="s">
        <v>205</v>
      </c>
      <c r="C69" s="232"/>
      <c r="D69" s="232"/>
      <c r="E69" s="232"/>
      <c r="F69" s="232"/>
      <c r="G69" s="232"/>
      <c r="H69" s="233"/>
    </row>
    <row r="70" spans="1:8" s="68" customFormat="1" ht="27" outlineLevel="2" x14ac:dyDescent="0.25">
      <c r="A70" s="92" t="s">
        <v>428</v>
      </c>
      <c r="B70" s="95" t="s">
        <v>206</v>
      </c>
      <c r="C70" s="80" t="s">
        <v>129</v>
      </c>
      <c r="D70" s="96">
        <v>1381224</v>
      </c>
      <c r="E70" s="96">
        <v>1381224</v>
      </c>
      <c r="F70" s="96">
        <v>1381224</v>
      </c>
      <c r="G70" s="101">
        <f>F70/E70</f>
        <v>1</v>
      </c>
      <c r="H70" s="39" t="s">
        <v>335</v>
      </c>
    </row>
    <row r="71" spans="1:8" s="68" customFormat="1" ht="27" outlineLevel="2" x14ac:dyDescent="0.25">
      <c r="A71" s="92" t="s">
        <v>429</v>
      </c>
      <c r="B71" s="95" t="s">
        <v>207</v>
      </c>
      <c r="C71" s="80" t="s">
        <v>120</v>
      </c>
      <c r="D71" s="79">
        <v>52</v>
      </c>
      <c r="E71" s="79">
        <v>52</v>
      </c>
      <c r="F71" s="79">
        <v>52</v>
      </c>
      <c r="G71" s="101">
        <f>F71/E71</f>
        <v>1</v>
      </c>
      <c r="H71" s="39" t="s">
        <v>335</v>
      </c>
    </row>
    <row r="72" spans="1:8" s="68" customFormat="1" ht="27" outlineLevel="2" x14ac:dyDescent="0.25">
      <c r="A72" s="92" t="s">
        <v>430</v>
      </c>
      <c r="B72" s="95" t="s">
        <v>208</v>
      </c>
      <c r="C72" s="80" t="s">
        <v>130</v>
      </c>
      <c r="D72" s="79">
        <v>13660</v>
      </c>
      <c r="E72" s="79">
        <v>14280</v>
      </c>
      <c r="F72" s="79">
        <v>14280</v>
      </c>
      <c r="G72" s="101">
        <f>F72/E72</f>
        <v>1</v>
      </c>
      <c r="H72" s="39" t="s">
        <v>335</v>
      </c>
    </row>
    <row r="73" spans="1:8" s="68" customFormat="1" outlineLevel="1" x14ac:dyDescent="0.25">
      <c r="A73" s="100"/>
      <c r="B73" s="231" t="s">
        <v>209</v>
      </c>
      <c r="C73" s="232"/>
      <c r="D73" s="232"/>
      <c r="E73" s="232"/>
      <c r="F73" s="232"/>
      <c r="G73" s="232"/>
      <c r="H73" s="233"/>
    </row>
    <row r="74" spans="1:8" s="69" customFormat="1" ht="27" outlineLevel="2" x14ac:dyDescent="0.25">
      <c r="A74" s="92" t="s">
        <v>441</v>
      </c>
      <c r="B74" s="93" t="s">
        <v>210</v>
      </c>
      <c r="C74" s="79" t="s">
        <v>69</v>
      </c>
      <c r="D74" s="79">
        <v>76</v>
      </c>
      <c r="E74" s="79">
        <v>90</v>
      </c>
      <c r="F74" s="79">
        <v>88</v>
      </c>
      <c r="G74" s="103">
        <f>F74/E74</f>
        <v>0.97799999999999998</v>
      </c>
      <c r="H74" s="102" t="s">
        <v>336</v>
      </c>
    </row>
    <row r="75" spans="1:8" s="69" customFormat="1" ht="40.5" outlineLevel="2" x14ac:dyDescent="0.25">
      <c r="A75" s="92" t="s">
        <v>444</v>
      </c>
      <c r="B75" s="94" t="s">
        <v>211</v>
      </c>
      <c r="C75" s="79" t="s">
        <v>69</v>
      </c>
      <c r="D75" s="79">
        <v>62</v>
      </c>
      <c r="E75" s="79">
        <v>100</v>
      </c>
      <c r="F75" s="79">
        <v>92</v>
      </c>
      <c r="G75" s="103">
        <f>F75/E75</f>
        <v>0.92</v>
      </c>
      <c r="H75" s="39" t="s">
        <v>337</v>
      </c>
    </row>
    <row r="76" spans="1:8" s="69" customFormat="1" outlineLevel="1" x14ac:dyDescent="0.25">
      <c r="A76" s="100"/>
      <c r="B76" s="231" t="s">
        <v>212</v>
      </c>
      <c r="C76" s="232"/>
      <c r="D76" s="232"/>
      <c r="E76" s="232"/>
      <c r="F76" s="232"/>
      <c r="G76" s="232"/>
      <c r="H76" s="233"/>
    </row>
    <row r="77" spans="1:8" s="69" customFormat="1" ht="40.5" outlineLevel="2" x14ac:dyDescent="0.25">
      <c r="A77" s="92" t="s">
        <v>445</v>
      </c>
      <c r="B77" s="93" t="s">
        <v>213</v>
      </c>
      <c r="C77" s="79" t="s">
        <v>69</v>
      </c>
      <c r="D77" s="79">
        <v>100</v>
      </c>
      <c r="E77" s="79">
        <v>100</v>
      </c>
      <c r="F77" s="79">
        <v>100</v>
      </c>
      <c r="G77" s="103">
        <v>1</v>
      </c>
      <c r="H77" s="95" t="s">
        <v>460</v>
      </c>
    </row>
    <row r="78" spans="1:8" s="69" customFormat="1" ht="30.75" customHeight="1" outlineLevel="1" x14ac:dyDescent="0.25">
      <c r="A78" s="100"/>
      <c r="B78" s="231" t="s">
        <v>214</v>
      </c>
      <c r="C78" s="232"/>
      <c r="D78" s="232"/>
      <c r="E78" s="232"/>
      <c r="F78" s="232"/>
      <c r="G78" s="232"/>
      <c r="H78" s="233"/>
    </row>
    <row r="79" spans="1:8" s="69" customFormat="1" ht="30.75" customHeight="1" outlineLevel="2" x14ac:dyDescent="0.25">
      <c r="A79" s="92" t="s">
        <v>452</v>
      </c>
      <c r="B79" s="93" t="s">
        <v>131</v>
      </c>
      <c r="C79" s="79" t="s">
        <v>102</v>
      </c>
      <c r="D79" s="15">
        <v>323</v>
      </c>
      <c r="E79" s="15">
        <v>332</v>
      </c>
      <c r="F79" s="15">
        <v>332</v>
      </c>
      <c r="G79" s="104">
        <f>F79/E79</f>
        <v>1</v>
      </c>
      <c r="H79" s="95" t="s">
        <v>338</v>
      </c>
    </row>
    <row r="80" spans="1:8" s="33" customFormat="1" x14ac:dyDescent="0.25">
      <c r="A80" s="1" t="s">
        <v>82</v>
      </c>
      <c r="B80" s="227" t="s">
        <v>31</v>
      </c>
      <c r="C80" s="228"/>
      <c r="D80" s="228"/>
      <c r="E80" s="228"/>
      <c r="F80" s="228"/>
      <c r="G80" s="228"/>
      <c r="H80" s="229"/>
    </row>
    <row r="81" spans="1:8" s="33" customFormat="1" outlineLevel="1" x14ac:dyDescent="0.25">
      <c r="A81" s="3"/>
      <c r="B81" s="230" t="s">
        <v>95</v>
      </c>
      <c r="C81" s="230"/>
      <c r="D81" s="230"/>
      <c r="E81" s="230"/>
      <c r="F81" s="230"/>
      <c r="G81" s="230"/>
      <c r="H81" s="230"/>
    </row>
    <row r="82" spans="1:8" s="33" customFormat="1" ht="54" outlineLevel="2" x14ac:dyDescent="0.25">
      <c r="A82" s="3" t="s">
        <v>414</v>
      </c>
      <c r="B82" s="6" t="s">
        <v>216</v>
      </c>
      <c r="C82" s="93" t="s">
        <v>96</v>
      </c>
      <c r="D82" s="121">
        <v>235</v>
      </c>
      <c r="E82" s="121">
        <v>555</v>
      </c>
      <c r="F82" s="121">
        <v>570</v>
      </c>
      <c r="G82" s="10">
        <f>F82/E82</f>
        <v>1.0269999999999999</v>
      </c>
      <c r="H82" s="123" t="s">
        <v>400</v>
      </c>
    </row>
    <row r="83" spans="1:8" s="33" customFormat="1" ht="27" outlineLevel="2" x14ac:dyDescent="0.25">
      <c r="A83" s="3" t="s">
        <v>415</v>
      </c>
      <c r="B83" s="6" t="s">
        <v>217</v>
      </c>
      <c r="C83" s="121" t="s">
        <v>97</v>
      </c>
      <c r="D83" s="121">
        <v>385</v>
      </c>
      <c r="E83" s="121">
        <v>400</v>
      </c>
      <c r="F83" s="121">
        <v>440</v>
      </c>
      <c r="G83" s="10">
        <f>F83/E83</f>
        <v>1.1000000000000001</v>
      </c>
      <c r="H83" s="123" t="s">
        <v>292</v>
      </c>
    </row>
    <row r="84" spans="1:8" s="33" customFormat="1" ht="41.25" outlineLevel="2" x14ac:dyDescent="0.25">
      <c r="A84" s="3" t="s">
        <v>416</v>
      </c>
      <c r="B84" s="85" t="s">
        <v>355</v>
      </c>
      <c r="C84" s="93" t="s">
        <v>362</v>
      </c>
      <c r="D84" s="121">
        <v>37</v>
      </c>
      <c r="E84" s="121">
        <v>38.4</v>
      </c>
      <c r="F84" s="212">
        <v>46.1</v>
      </c>
      <c r="G84" s="103">
        <f>F84/E84</f>
        <v>1.2010000000000001</v>
      </c>
      <c r="H84" s="123" t="s">
        <v>293</v>
      </c>
    </row>
    <row r="85" spans="1:8" s="33" customFormat="1" ht="41.25" outlineLevel="2" x14ac:dyDescent="0.25">
      <c r="A85" s="3" t="s">
        <v>417</v>
      </c>
      <c r="B85" s="85" t="s">
        <v>356</v>
      </c>
      <c r="C85" s="93" t="s">
        <v>362</v>
      </c>
      <c r="D85" s="121">
        <v>32</v>
      </c>
      <c r="E85" s="121">
        <v>47.3</v>
      </c>
      <c r="F85" s="121">
        <v>81.2</v>
      </c>
      <c r="G85" s="103">
        <f t="shared" ref="G85:G91" si="3">F85/E85</f>
        <v>1.7170000000000001</v>
      </c>
      <c r="H85" s="123" t="s">
        <v>293</v>
      </c>
    </row>
    <row r="86" spans="1:8" s="33" customFormat="1" ht="41.25" outlineLevel="2" x14ac:dyDescent="0.25">
      <c r="A86" s="3" t="s">
        <v>418</v>
      </c>
      <c r="B86" s="85" t="s">
        <v>357</v>
      </c>
      <c r="C86" s="93" t="s">
        <v>362</v>
      </c>
      <c r="D86" s="121">
        <v>18.5</v>
      </c>
      <c r="E86" s="121">
        <v>24</v>
      </c>
      <c r="F86" s="121">
        <v>24.4</v>
      </c>
      <c r="G86" s="103">
        <f t="shared" si="3"/>
        <v>1.0169999999999999</v>
      </c>
      <c r="H86" s="123" t="s">
        <v>293</v>
      </c>
    </row>
    <row r="87" spans="1:8" s="33" customFormat="1" ht="41.25" outlineLevel="2" x14ac:dyDescent="0.25">
      <c r="A87" s="3" t="s">
        <v>419</v>
      </c>
      <c r="B87" s="85" t="s">
        <v>358</v>
      </c>
      <c r="C87" s="93" t="s">
        <v>362</v>
      </c>
      <c r="D87" s="121">
        <v>58</v>
      </c>
      <c r="E87" s="121">
        <v>72</v>
      </c>
      <c r="F87" s="121">
        <v>80.2</v>
      </c>
      <c r="G87" s="103">
        <f t="shared" si="3"/>
        <v>1.1140000000000001</v>
      </c>
      <c r="H87" s="123" t="s">
        <v>293</v>
      </c>
    </row>
    <row r="88" spans="1:8" s="33" customFormat="1" ht="54.75" outlineLevel="2" x14ac:dyDescent="0.25">
      <c r="A88" s="3" t="s">
        <v>420</v>
      </c>
      <c r="B88" s="85" t="s">
        <v>359</v>
      </c>
      <c r="C88" s="93" t="s">
        <v>362</v>
      </c>
      <c r="D88" s="121">
        <v>10.8</v>
      </c>
      <c r="E88" s="121">
        <v>14.1</v>
      </c>
      <c r="F88" s="121">
        <v>14.2</v>
      </c>
      <c r="G88" s="103">
        <f t="shared" si="3"/>
        <v>1.0069999999999999</v>
      </c>
      <c r="H88" s="123" t="s">
        <v>293</v>
      </c>
    </row>
    <row r="89" spans="1:8" s="33" customFormat="1" ht="81.75" outlineLevel="2" x14ac:dyDescent="0.25">
      <c r="A89" s="3" t="s">
        <v>421</v>
      </c>
      <c r="B89" s="85" t="s">
        <v>360</v>
      </c>
      <c r="C89" s="93" t="s">
        <v>362</v>
      </c>
      <c r="D89" s="121">
        <v>0</v>
      </c>
      <c r="E89" s="121">
        <v>30</v>
      </c>
      <c r="F89" s="121">
        <v>57.8</v>
      </c>
      <c r="G89" s="103">
        <f t="shared" si="3"/>
        <v>1.927</v>
      </c>
      <c r="H89" s="123" t="s">
        <v>400</v>
      </c>
    </row>
    <row r="90" spans="1:8" s="33" customFormat="1" ht="54" outlineLevel="2" x14ac:dyDescent="0.25">
      <c r="A90" s="3"/>
      <c r="B90" s="39" t="s">
        <v>361</v>
      </c>
      <c r="C90" s="93" t="s">
        <v>362</v>
      </c>
      <c r="D90" s="91">
        <v>0</v>
      </c>
      <c r="E90" s="91">
        <v>50</v>
      </c>
      <c r="F90" s="121">
        <v>65.599999999999994</v>
      </c>
      <c r="G90" s="103">
        <f t="shared" si="3"/>
        <v>1.3120000000000001</v>
      </c>
      <c r="H90" s="123" t="s">
        <v>400</v>
      </c>
    </row>
    <row r="91" spans="1:8" s="33" customFormat="1" ht="67.5" outlineLevel="2" x14ac:dyDescent="0.25">
      <c r="A91" s="3" t="s">
        <v>422</v>
      </c>
      <c r="B91" s="39" t="s">
        <v>404</v>
      </c>
      <c r="C91" s="93" t="s">
        <v>69</v>
      </c>
      <c r="D91" s="212">
        <v>0</v>
      </c>
      <c r="E91" s="212">
        <v>15</v>
      </c>
      <c r="F91" s="4">
        <v>27.8</v>
      </c>
      <c r="G91" s="103">
        <f t="shared" si="3"/>
        <v>1.853</v>
      </c>
      <c r="H91" s="213" t="s">
        <v>400</v>
      </c>
    </row>
    <row r="92" spans="1:8" s="33" customFormat="1" outlineLevel="1" x14ac:dyDescent="0.25">
      <c r="A92" s="3"/>
      <c r="B92" s="231" t="s">
        <v>23</v>
      </c>
      <c r="C92" s="232"/>
      <c r="D92" s="232"/>
      <c r="E92" s="232"/>
      <c r="F92" s="232"/>
      <c r="G92" s="232"/>
      <c r="H92" s="233"/>
    </row>
    <row r="93" spans="1:8" s="33" customFormat="1" ht="40.5" outlineLevel="2" x14ac:dyDescent="0.25">
      <c r="A93" s="8" t="s">
        <v>425</v>
      </c>
      <c r="B93" s="39" t="s">
        <v>218</v>
      </c>
      <c r="C93" s="212" t="s">
        <v>97</v>
      </c>
      <c r="D93" s="212">
        <v>82</v>
      </c>
      <c r="E93" s="212">
        <v>86</v>
      </c>
      <c r="F93" s="212">
        <v>86</v>
      </c>
      <c r="G93" s="103">
        <f>F93/E93</f>
        <v>1</v>
      </c>
      <c r="H93" s="213" t="s">
        <v>294</v>
      </c>
    </row>
    <row r="94" spans="1:8" s="33" customFormat="1" ht="54" outlineLevel="2" x14ac:dyDescent="0.25">
      <c r="A94" s="3" t="s">
        <v>426</v>
      </c>
      <c r="B94" s="39" t="s">
        <v>219</v>
      </c>
      <c r="C94" s="93" t="s">
        <v>96</v>
      </c>
      <c r="D94" s="212">
        <v>3900</v>
      </c>
      <c r="E94" s="212">
        <v>4100</v>
      </c>
      <c r="F94" s="4">
        <v>5828</v>
      </c>
      <c r="G94" s="103">
        <f>F94/E94</f>
        <v>1.421</v>
      </c>
      <c r="H94" s="213" t="s">
        <v>295</v>
      </c>
    </row>
    <row r="95" spans="1:8" s="33" customFormat="1" outlineLevel="1" x14ac:dyDescent="0.25">
      <c r="A95" s="120"/>
      <c r="B95" s="231" t="s">
        <v>100</v>
      </c>
      <c r="C95" s="232"/>
      <c r="D95" s="232"/>
      <c r="E95" s="232"/>
      <c r="F95" s="232"/>
      <c r="G95" s="232"/>
      <c r="H95" s="233"/>
    </row>
    <row r="96" spans="1:8" s="33" customFormat="1" ht="27" outlineLevel="2" x14ac:dyDescent="0.25">
      <c r="A96" s="3" t="s">
        <v>428</v>
      </c>
      <c r="B96" s="6" t="s">
        <v>220</v>
      </c>
      <c r="C96" s="212" t="s">
        <v>101</v>
      </c>
      <c r="D96" s="212">
        <v>1900</v>
      </c>
      <c r="E96" s="212">
        <v>3100</v>
      </c>
      <c r="F96" s="4">
        <v>4468</v>
      </c>
      <c r="G96" s="103">
        <f>F96/E96</f>
        <v>1.4410000000000001</v>
      </c>
      <c r="H96" s="213" t="s">
        <v>619</v>
      </c>
    </row>
    <row r="97" spans="1:8" s="33" customFormat="1" ht="40.5" customHeight="1" outlineLevel="2" x14ac:dyDescent="0.25">
      <c r="A97" s="3" t="s">
        <v>429</v>
      </c>
      <c r="B97" s="6" t="s">
        <v>99</v>
      </c>
      <c r="C97" s="212" t="s">
        <v>69</v>
      </c>
      <c r="D97" s="212">
        <v>1.2</v>
      </c>
      <c r="E97" s="212">
        <v>1.05</v>
      </c>
      <c r="F97" s="212">
        <v>0.47</v>
      </c>
      <c r="G97" s="103">
        <v>1</v>
      </c>
      <c r="H97" s="158" t="s">
        <v>296</v>
      </c>
    </row>
    <row r="98" spans="1:8" s="33" customFormat="1" ht="54" outlineLevel="2" x14ac:dyDescent="0.25">
      <c r="A98" s="3" t="s">
        <v>430</v>
      </c>
      <c r="B98" s="6" t="s">
        <v>221</v>
      </c>
      <c r="C98" s="91" t="s">
        <v>69</v>
      </c>
      <c r="D98" s="91">
        <v>100</v>
      </c>
      <c r="E98" s="91">
        <v>100</v>
      </c>
      <c r="F98" s="121">
        <v>100</v>
      </c>
      <c r="G98" s="103">
        <f>F98/E98</f>
        <v>1</v>
      </c>
      <c r="H98" s="123" t="s">
        <v>400</v>
      </c>
    </row>
    <row r="99" spans="1:8" s="33" customFormat="1" outlineLevel="1" x14ac:dyDescent="0.25">
      <c r="A99" s="120"/>
      <c r="B99" s="231" t="s">
        <v>222</v>
      </c>
      <c r="C99" s="232"/>
      <c r="D99" s="232"/>
      <c r="E99" s="232"/>
      <c r="F99" s="232"/>
      <c r="G99" s="232"/>
      <c r="H99" s="233"/>
    </row>
    <row r="100" spans="1:8" s="33" customFormat="1" ht="54" outlineLevel="2" x14ac:dyDescent="0.25">
      <c r="A100" s="3" t="s">
        <v>441</v>
      </c>
      <c r="B100" s="121" t="s">
        <v>198</v>
      </c>
      <c r="C100" s="91" t="s">
        <v>69</v>
      </c>
      <c r="D100" s="91">
        <v>100</v>
      </c>
      <c r="E100" s="91">
        <v>100</v>
      </c>
      <c r="F100" s="121">
        <v>100</v>
      </c>
      <c r="G100" s="103">
        <v>1</v>
      </c>
      <c r="H100" s="123" t="s">
        <v>400</v>
      </c>
    </row>
    <row r="101" spans="1:8" s="33" customFormat="1" x14ac:dyDescent="0.25">
      <c r="A101" s="1" t="s">
        <v>103</v>
      </c>
      <c r="B101" s="227" t="s">
        <v>65</v>
      </c>
      <c r="C101" s="228"/>
      <c r="D101" s="228"/>
      <c r="E101" s="228"/>
      <c r="F101" s="228"/>
      <c r="G101" s="228"/>
      <c r="H101" s="229"/>
    </row>
    <row r="102" spans="1:8" s="33" customFormat="1" outlineLevel="1" x14ac:dyDescent="0.25">
      <c r="A102" s="3"/>
      <c r="B102" s="231" t="s">
        <v>223</v>
      </c>
      <c r="C102" s="232"/>
      <c r="D102" s="232"/>
      <c r="E102" s="232"/>
      <c r="F102" s="232"/>
      <c r="G102" s="232"/>
      <c r="H102" s="233"/>
    </row>
    <row r="103" spans="1:8" s="33" customFormat="1" ht="54" outlineLevel="2" x14ac:dyDescent="0.25">
      <c r="A103" s="7" t="s">
        <v>414</v>
      </c>
      <c r="B103" s="6" t="s">
        <v>224</v>
      </c>
      <c r="C103" s="121" t="s">
        <v>69</v>
      </c>
      <c r="D103" s="121">
        <v>100</v>
      </c>
      <c r="E103" s="121">
        <v>100</v>
      </c>
      <c r="F103" s="121">
        <v>100</v>
      </c>
      <c r="G103" s="160">
        <v>1</v>
      </c>
      <c r="H103" s="123" t="s">
        <v>365</v>
      </c>
    </row>
    <row r="104" spans="1:8" s="33" customFormat="1" ht="54" outlineLevel="2" x14ac:dyDescent="0.25">
      <c r="A104" s="7" t="s">
        <v>415</v>
      </c>
      <c r="B104" s="56" t="s">
        <v>625</v>
      </c>
      <c r="C104" s="121" t="s">
        <v>69</v>
      </c>
      <c r="D104" s="121">
        <v>100</v>
      </c>
      <c r="E104" s="121">
        <v>100</v>
      </c>
      <c r="F104" s="121">
        <v>100</v>
      </c>
      <c r="G104" s="160">
        <v>1</v>
      </c>
      <c r="H104" s="123" t="s">
        <v>365</v>
      </c>
    </row>
    <row r="105" spans="1:8" s="33" customFormat="1" ht="54" outlineLevel="2" x14ac:dyDescent="0.25">
      <c r="A105" s="7" t="s">
        <v>416</v>
      </c>
      <c r="B105" s="56" t="s">
        <v>626</v>
      </c>
      <c r="C105" s="121" t="s">
        <v>69</v>
      </c>
      <c r="D105" s="121">
        <v>100</v>
      </c>
      <c r="E105" s="121">
        <v>100</v>
      </c>
      <c r="F105" s="121">
        <v>100</v>
      </c>
      <c r="G105" s="160">
        <v>1</v>
      </c>
      <c r="H105" s="123" t="s">
        <v>365</v>
      </c>
    </row>
    <row r="106" spans="1:8" s="33" customFormat="1" ht="40.5" outlineLevel="2" x14ac:dyDescent="0.25">
      <c r="A106" s="7" t="s">
        <v>417</v>
      </c>
      <c r="B106" s="56" t="s">
        <v>627</v>
      </c>
      <c r="C106" s="121" t="s">
        <v>69</v>
      </c>
      <c r="D106" s="121">
        <v>100</v>
      </c>
      <c r="E106" s="121">
        <v>100</v>
      </c>
      <c r="F106" s="121">
        <v>100</v>
      </c>
      <c r="G106" s="160">
        <v>1</v>
      </c>
      <c r="H106" s="156" t="s">
        <v>628</v>
      </c>
    </row>
    <row r="107" spans="1:8" s="33" customFormat="1" outlineLevel="1" x14ac:dyDescent="0.25">
      <c r="A107" s="3"/>
      <c r="B107" s="231" t="s">
        <v>136</v>
      </c>
      <c r="C107" s="232"/>
      <c r="D107" s="232"/>
      <c r="E107" s="232"/>
      <c r="F107" s="232"/>
      <c r="G107" s="232"/>
      <c r="H107" s="233"/>
    </row>
    <row r="108" spans="1:8" s="33" customFormat="1" ht="54" outlineLevel="2" x14ac:dyDescent="0.25">
      <c r="A108" s="8" t="s">
        <v>425</v>
      </c>
      <c r="B108" s="9" t="s">
        <v>225</v>
      </c>
      <c r="C108" s="121" t="s">
        <v>69</v>
      </c>
      <c r="D108" s="121">
        <v>100</v>
      </c>
      <c r="E108" s="121">
        <v>100</v>
      </c>
      <c r="F108" s="121">
        <v>100</v>
      </c>
      <c r="G108" s="10">
        <f>F108/E108</f>
        <v>1</v>
      </c>
      <c r="H108" s="161" t="s">
        <v>365</v>
      </c>
    </row>
    <row r="109" spans="1:8" s="33" customFormat="1" ht="54" outlineLevel="2" x14ac:dyDescent="0.25">
      <c r="A109" s="8" t="s">
        <v>426</v>
      </c>
      <c r="B109" s="9" t="s">
        <v>453</v>
      </c>
      <c r="C109" s="121" t="s">
        <v>102</v>
      </c>
      <c r="D109" s="121">
        <v>0</v>
      </c>
      <c r="E109" s="121">
        <v>10</v>
      </c>
      <c r="F109" s="4">
        <v>8</v>
      </c>
      <c r="G109" s="10">
        <f>F109/E109</f>
        <v>0.8</v>
      </c>
      <c r="H109" s="161" t="s">
        <v>365</v>
      </c>
    </row>
    <row r="110" spans="1:8" s="33" customFormat="1" ht="54" outlineLevel="2" x14ac:dyDescent="0.25">
      <c r="A110" s="8" t="s">
        <v>427</v>
      </c>
      <c r="B110" s="9" t="s">
        <v>119</v>
      </c>
      <c r="C110" s="121" t="s">
        <v>69</v>
      </c>
      <c r="D110" s="121">
        <v>100</v>
      </c>
      <c r="E110" s="121">
        <v>100</v>
      </c>
      <c r="F110" s="121">
        <v>100</v>
      </c>
      <c r="G110" s="10">
        <f>F110/E110</f>
        <v>1</v>
      </c>
      <c r="H110" s="161" t="s">
        <v>365</v>
      </c>
    </row>
    <row r="111" spans="1:8" s="33" customFormat="1" x14ac:dyDescent="0.25">
      <c r="A111" s="1" t="s">
        <v>83</v>
      </c>
      <c r="B111" s="227" t="s">
        <v>33</v>
      </c>
      <c r="C111" s="228"/>
      <c r="D111" s="228"/>
      <c r="E111" s="228"/>
      <c r="F111" s="228"/>
      <c r="G111" s="228"/>
      <c r="H111" s="229"/>
    </row>
    <row r="112" spans="1:8" s="69" customFormat="1" ht="67.5" outlineLevel="1" x14ac:dyDescent="0.25">
      <c r="A112" s="92" t="s">
        <v>77</v>
      </c>
      <c r="B112" s="93" t="s">
        <v>226</v>
      </c>
      <c r="C112" s="121" t="s">
        <v>227</v>
      </c>
      <c r="D112" s="162">
        <v>0.22700000000000001</v>
      </c>
      <c r="E112" s="162">
        <v>0.28000000000000003</v>
      </c>
      <c r="F112" s="162">
        <v>0.23499999999999999</v>
      </c>
      <c r="G112" s="103">
        <f>F112/E112</f>
        <v>0.83899999999999997</v>
      </c>
      <c r="H112" s="123" t="s">
        <v>345</v>
      </c>
    </row>
    <row r="113" spans="1:8" s="69" customFormat="1" ht="67.5" outlineLevel="1" x14ac:dyDescent="0.25">
      <c r="A113" s="92" t="s">
        <v>78</v>
      </c>
      <c r="B113" s="93" t="s">
        <v>228</v>
      </c>
      <c r="C113" s="121" t="s">
        <v>227</v>
      </c>
      <c r="D113" s="162">
        <v>0.77300000000000002</v>
      </c>
      <c r="E113" s="162">
        <v>0.85</v>
      </c>
      <c r="F113" s="162">
        <v>0.90100000000000002</v>
      </c>
      <c r="G113" s="103">
        <f t="shared" ref="G113:G120" si="4">F113/E113</f>
        <v>1.06</v>
      </c>
      <c r="H113" s="123" t="s">
        <v>345</v>
      </c>
    </row>
    <row r="114" spans="1:8" s="69" customFormat="1" ht="40.5" outlineLevel="1" x14ac:dyDescent="0.25">
      <c r="A114" s="92" t="s">
        <v>79</v>
      </c>
      <c r="B114" s="93" t="s">
        <v>229</v>
      </c>
      <c r="C114" s="121" t="s">
        <v>227</v>
      </c>
      <c r="D114" s="97">
        <v>0.2</v>
      </c>
      <c r="E114" s="163">
        <v>0.22500000000000001</v>
      </c>
      <c r="F114" s="163">
        <v>0.29099999999999998</v>
      </c>
      <c r="G114" s="103">
        <f t="shared" si="4"/>
        <v>1.2929999999999999</v>
      </c>
      <c r="H114" s="123" t="s">
        <v>630</v>
      </c>
    </row>
    <row r="115" spans="1:8" s="69" customFormat="1" ht="40.5" outlineLevel="1" x14ac:dyDescent="0.25">
      <c r="A115" s="92" t="s">
        <v>80</v>
      </c>
      <c r="B115" s="93" t="s">
        <v>230</v>
      </c>
      <c r="C115" s="121" t="s">
        <v>231</v>
      </c>
      <c r="D115" s="97">
        <v>14.1</v>
      </c>
      <c r="E115" s="97">
        <v>15.9</v>
      </c>
      <c r="F115" s="97">
        <v>16.2</v>
      </c>
      <c r="G115" s="103">
        <f t="shared" si="4"/>
        <v>1.0189999999999999</v>
      </c>
      <c r="H115" s="123" t="s">
        <v>123</v>
      </c>
    </row>
    <row r="116" spans="1:8" s="69" customFormat="1" ht="67.5" outlineLevel="1" x14ac:dyDescent="0.25">
      <c r="A116" s="92" t="s">
        <v>81</v>
      </c>
      <c r="B116" s="93" t="s">
        <v>232</v>
      </c>
      <c r="C116" s="121" t="s">
        <v>122</v>
      </c>
      <c r="D116" s="97">
        <v>2.5</v>
      </c>
      <c r="E116" s="97">
        <v>6</v>
      </c>
      <c r="F116" s="97">
        <v>6</v>
      </c>
      <c r="G116" s="103">
        <f t="shared" si="4"/>
        <v>1</v>
      </c>
      <c r="H116" s="123" t="s">
        <v>442</v>
      </c>
    </row>
    <row r="117" spans="1:8" s="69" customFormat="1" ht="54" outlineLevel="1" x14ac:dyDescent="0.25">
      <c r="A117" s="92" t="s">
        <v>82</v>
      </c>
      <c r="B117" s="93" t="s">
        <v>629</v>
      </c>
      <c r="C117" s="121" t="s">
        <v>171</v>
      </c>
      <c r="D117" s="15">
        <v>220</v>
      </c>
      <c r="E117" s="15">
        <v>300</v>
      </c>
      <c r="F117" s="15">
        <v>359</v>
      </c>
      <c r="G117" s="103">
        <f t="shared" si="4"/>
        <v>1.1970000000000001</v>
      </c>
      <c r="H117" s="123" t="s">
        <v>346</v>
      </c>
    </row>
    <row r="118" spans="1:8" s="69" customFormat="1" ht="79.5" customHeight="1" outlineLevel="1" x14ac:dyDescent="0.25">
      <c r="A118" s="92" t="s">
        <v>103</v>
      </c>
      <c r="B118" s="93" t="s">
        <v>233</v>
      </c>
      <c r="C118" s="121" t="s">
        <v>138</v>
      </c>
      <c r="D118" s="15">
        <v>200</v>
      </c>
      <c r="E118" s="15">
        <v>225</v>
      </c>
      <c r="F118" s="15">
        <v>225</v>
      </c>
      <c r="G118" s="103">
        <f t="shared" si="4"/>
        <v>1</v>
      </c>
      <c r="H118" s="123" t="s">
        <v>347</v>
      </c>
    </row>
    <row r="119" spans="1:8" s="69" customFormat="1" ht="67.5" outlineLevel="1" x14ac:dyDescent="0.25">
      <c r="A119" s="92" t="s">
        <v>83</v>
      </c>
      <c r="B119" s="93" t="s">
        <v>234</v>
      </c>
      <c r="C119" s="121" t="s">
        <v>138</v>
      </c>
      <c r="D119" s="15">
        <v>1</v>
      </c>
      <c r="E119" s="15">
        <v>1</v>
      </c>
      <c r="F119" s="15">
        <v>2</v>
      </c>
      <c r="G119" s="101">
        <f>F119/E119</f>
        <v>2</v>
      </c>
      <c r="H119" s="123" t="s">
        <v>347</v>
      </c>
    </row>
    <row r="120" spans="1:8" s="69" customFormat="1" ht="27" outlineLevel="1" x14ac:dyDescent="0.25">
      <c r="A120" s="92" t="s">
        <v>413</v>
      </c>
      <c r="B120" s="94" t="s">
        <v>435</v>
      </c>
      <c r="C120" s="121" t="s">
        <v>69</v>
      </c>
      <c r="D120" s="15">
        <v>100</v>
      </c>
      <c r="E120" s="15">
        <v>100</v>
      </c>
      <c r="F120" s="15">
        <v>100</v>
      </c>
      <c r="G120" s="101">
        <f t="shared" si="4"/>
        <v>1</v>
      </c>
      <c r="H120" s="123" t="s">
        <v>443</v>
      </c>
    </row>
    <row r="121" spans="1:8" x14ac:dyDescent="0.25">
      <c r="A121" s="1" t="s">
        <v>84</v>
      </c>
      <c r="B121" s="227" t="s">
        <v>67</v>
      </c>
      <c r="C121" s="228"/>
      <c r="D121" s="228"/>
      <c r="E121" s="228"/>
      <c r="F121" s="228"/>
      <c r="G121" s="228"/>
      <c r="H121" s="229"/>
    </row>
    <row r="122" spans="1:8" s="69" customFormat="1" ht="81" outlineLevel="1" x14ac:dyDescent="0.25">
      <c r="A122" s="92" t="s">
        <v>77</v>
      </c>
      <c r="B122" s="93" t="s">
        <v>699</v>
      </c>
      <c r="C122" s="121" t="s">
        <v>124</v>
      </c>
      <c r="D122" s="15">
        <v>12</v>
      </c>
      <c r="E122" s="15">
        <v>113</v>
      </c>
      <c r="F122" s="15">
        <v>113</v>
      </c>
      <c r="G122" s="101">
        <f>F122/E122</f>
        <v>1</v>
      </c>
      <c r="H122" s="123" t="s">
        <v>347</v>
      </c>
    </row>
    <row r="123" spans="1:8" s="69" customFormat="1" ht="67.5" outlineLevel="1" x14ac:dyDescent="0.25">
      <c r="A123" s="92" t="s">
        <v>78</v>
      </c>
      <c r="B123" s="93" t="s">
        <v>235</v>
      </c>
      <c r="C123" s="121" t="s">
        <v>138</v>
      </c>
      <c r="D123" s="15">
        <v>2</v>
      </c>
      <c r="E123" s="15">
        <v>2</v>
      </c>
      <c r="F123" s="15">
        <v>2</v>
      </c>
      <c r="G123" s="101">
        <f>F123/E123</f>
        <v>1</v>
      </c>
      <c r="H123" s="123" t="s">
        <v>347</v>
      </c>
    </row>
    <row r="124" spans="1:8" s="69" customFormat="1" ht="67.5" outlineLevel="1" x14ac:dyDescent="0.25">
      <c r="A124" s="92" t="s">
        <v>79</v>
      </c>
      <c r="B124" s="85" t="s">
        <v>700</v>
      </c>
      <c r="C124" s="121" t="s">
        <v>138</v>
      </c>
      <c r="D124" s="15">
        <v>2</v>
      </c>
      <c r="E124" s="15">
        <v>2</v>
      </c>
      <c r="F124" s="15">
        <v>2</v>
      </c>
      <c r="G124" s="101">
        <f>F124/E124</f>
        <v>1</v>
      </c>
      <c r="H124" s="123" t="s">
        <v>347</v>
      </c>
    </row>
    <row r="125" spans="1:8" s="33" customFormat="1" x14ac:dyDescent="0.25">
      <c r="A125" s="1" t="s">
        <v>85</v>
      </c>
      <c r="B125" s="227" t="s">
        <v>37</v>
      </c>
      <c r="C125" s="228"/>
      <c r="D125" s="228"/>
      <c r="E125" s="228"/>
      <c r="F125" s="228"/>
      <c r="G125" s="228"/>
      <c r="H125" s="229"/>
    </row>
    <row r="126" spans="1:8" s="33" customFormat="1" outlineLevel="1" x14ac:dyDescent="0.25">
      <c r="A126" s="3"/>
      <c r="B126" s="231" t="s">
        <v>38</v>
      </c>
      <c r="C126" s="232"/>
      <c r="D126" s="232"/>
      <c r="E126" s="232"/>
      <c r="F126" s="232"/>
      <c r="G126" s="232"/>
      <c r="H126" s="233"/>
    </row>
    <row r="127" spans="1:8" s="69" customFormat="1" ht="57.75" customHeight="1" outlineLevel="2" x14ac:dyDescent="0.25">
      <c r="A127" s="92" t="s">
        <v>414</v>
      </c>
      <c r="B127" s="93" t="s">
        <v>631</v>
      </c>
      <c r="C127" s="121" t="s">
        <v>108</v>
      </c>
      <c r="D127" s="97">
        <v>15.1</v>
      </c>
      <c r="E127" s="97">
        <v>9.1</v>
      </c>
      <c r="F127" s="97">
        <v>9.3000000000000007</v>
      </c>
      <c r="G127" s="103">
        <f>F127/E127</f>
        <v>1.022</v>
      </c>
      <c r="H127" s="123" t="s">
        <v>396</v>
      </c>
    </row>
    <row r="128" spans="1:8" s="69" customFormat="1" ht="44.25" customHeight="1" outlineLevel="2" x14ac:dyDescent="0.25">
      <c r="A128" s="92"/>
      <c r="B128" s="93" t="s">
        <v>110</v>
      </c>
      <c r="C128" s="121" t="s">
        <v>108</v>
      </c>
      <c r="D128" s="97">
        <v>6.7</v>
      </c>
      <c r="E128" s="97">
        <v>1.6</v>
      </c>
      <c r="F128" s="164">
        <v>5.96</v>
      </c>
      <c r="G128" s="103">
        <f>F128/E128</f>
        <v>3.7250000000000001</v>
      </c>
      <c r="H128" s="123" t="s">
        <v>396</v>
      </c>
    </row>
    <row r="129" spans="1:11" s="69" customFormat="1" ht="42.75" customHeight="1" outlineLevel="2" x14ac:dyDescent="0.25">
      <c r="A129" s="92" t="s">
        <v>415</v>
      </c>
      <c r="B129" s="93" t="s">
        <v>114</v>
      </c>
      <c r="C129" s="121" t="s">
        <v>236</v>
      </c>
      <c r="D129" s="97">
        <v>20.9</v>
      </c>
      <c r="E129" s="97">
        <v>21.8</v>
      </c>
      <c r="F129" s="97">
        <v>23.8</v>
      </c>
      <c r="G129" s="103">
        <f>F129/E129</f>
        <v>1.0920000000000001</v>
      </c>
      <c r="H129" s="123" t="s">
        <v>396</v>
      </c>
    </row>
    <row r="130" spans="1:11" s="69" customFormat="1" ht="41.25" customHeight="1" outlineLevel="2" x14ac:dyDescent="0.25">
      <c r="A130" s="92" t="s">
        <v>416</v>
      </c>
      <c r="B130" s="93" t="s">
        <v>237</v>
      </c>
      <c r="C130" s="121" t="s">
        <v>112</v>
      </c>
      <c r="D130" s="15">
        <v>459</v>
      </c>
      <c r="E130" s="15">
        <v>200</v>
      </c>
      <c r="F130" s="249">
        <v>150</v>
      </c>
      <c r="G130" s="103">
        <f>F130/E130</f>
        <v>0.75</v>
      </c>
      <c r="H130" s="123" t="s">
        <v>396</v>
      </c>
    </row>
    <row r="131" spans="1:11" s="69" customFormat="1" ht="42" customHeight="1" outlineLevel="2" x14ac:dyDescent="0.25">
      <c r="A131" s="157" t="s">
        <v>417</v>
      </c>
      <c r="B131" s="93" t="s">
        <v>238</v>
      </c>
      <c r="C131" s="121" t="s">
        <v>113</v>
      </c>
      <c r="D131" s="97">
        <v>4</v>
      </c>
      <c r="E131" s="97">
        <v>0</v>
      </c>
      <c r="F131" s="97">
        <v>0</v>
      </c>
      <c r="G131" s="103"/>
      <c r="H131" s="158" t="s">
        <v>396</v>
      </c>
    </row>
    <row r="132" spans="1:11" s="33" customFormat="1" outlineLevel="1" x14ac:dyDescent="0.25">
      <c r="A132" s="3"/>
      <c r="B132" s="231" t="s">
        <v>35</v>
      </c>
      <c r="C132" s="232"/>
      <c r="D132" s="232"/>
      <c r="E132" s="232"/>
      <c r="F132" s="232"/>
      <c r="G132" s="232"/>
      <c r="H132" s="233"/>
    </row>
    <row r="133" spans="1:11" s="69" customFormat="1" ht="40.5" outlineLevel="2" x14ac:dyDescent="0.25">
      <c r="A133" s="92" t="s">
        <v>425</v>
      </c>
      <c r="B133" s="93" t="s">
        <v>239</v>
      </c>
      <c r="C133" s="121" t="s">
        <v>69</v>
      </c>
      <c r="D133" s="15">
        <v>50</v>
      </c>
      <c r="E133" s="15">
        <v>94</v>
      </c>
      <c r="F133" s="15">
        <v>94</v>
      </c>
      <c r="G133" s="103">
        <f>F133/E133</f>
        <v>1</v>
      </c>
      <c r="H133" s="158" t="s">
        <v>396</v>
      </c>
    </row>
    <row r="134" spans="1:11" s="33" customFormat="1" outlineLevel="1" x14ac:dyDescent="0.25">
      <c r="A134" s="3"/>
      <c r="B134" s="231" t="s">
        <v>36</v>
      </c>
      <c r="C134" s="232"/>
      <c r="D134" s="232"/>
      <c r="E134" s="232"/>
      <c r="F134" s="232"/>
      <c r="G134" s="232"/>
      <c r="H134" s="233"/>
    </row>
    <row r="135" spans="1:11" s="69" customFormat="1" ht="64.5" customHeight="1" outlineLevel="2" x14ac:dyDescent="0.25">
      <c r="A135" s="92" t="s">
        <v>428</v>
      </c>
      <c r="B135" s="93" t="s">
        <v>632</v>
      </c>
      <c r="C135" s="121" t="s">
        <v>69</v>
      </c>
      <c r="D135" s="97">
        <v>7</v>
      </c>
      <c r="E135" s="97">
        <v>1</v>
      </c>
      <c r="F135" s="165">
        <v>0</v>
      </c>
      <c r="G135" s="103">
        <f>F135/E135</f>
        <v>0</v>
      </c>
      <c r="H135" s="158" t="s">
        <v>396</v>
      </c>
    </row>
    <row r="136" spans="1:11" s="69" customFormat="1" ht="64.5" customHeight="1" outlineLevel="2" x14ac:dyDescent="0.25">
      <c r="A136" s="92" t="s">
        <v>429</v>
      </c>
      <c r="B136" s="93" t="s">
        <v>633</v>
      </c>
      <c r="C136" s="121" t="s">
        <v>97</v>
      </c>
      <c r="D136" s="15">
        <v>0</v>
      </c>
      <c r="E136" s="15">
        <v>0</v>
      </c>
      <c r="F136" s="249">
        <v>4</v>
      </c>
      <c r="G136" s="103">
        <v>4</v>
      </c>
      <c r="H136" s="158" t="s">
        <v>396</v>
      </c>
    </row>
    <row r="137" spans="1:11" s="33" customFormat="1" x14ac:dyDescent="0.25">
      <c r="A137" s="1" t="s">
        <v>86</v>
      </c>
      <c r="B137" s="227" t="s">
        <v>41</v>
      </c>
      <c r="C137" s="228"/>
      <c r="D137" s="228"/>
      <c r="E137" s="228"/>
      <c r="F137" s="228"/>
      <c r="G137" s="228"/>
      <c r="H137" s="229"/>
    </row>
    <row r="138" spans="1:11" s="68" customFormat="1" outlineLevel="1" x14ac:dyDescent="0.25">
      <c r="A138" s="100"/>
      <c r="B138" s="231" t="s">
        <v>39</v>
      </c>
      <c r="C138" s="232"/>
      <c r="D138" s="232"/>
      <c r="E138" s="232"/>
      <c r="F138" s="232"/>
      <c r="G138" s="232"/>
      <c r="H138" s="233"/>
    </row>
    <row r="139" spans="1:11" s="68" customFormat="1" ht="40.5" outlineLevel="2" x14ac:dyDescent="0.25">
      <c r="A139" s="92" t="s">
        <v>414</v>
      </c>
      <c r="B139" s="93" t="s">
        <v>240</v>
      </c>
      <c r="C139" s="124" t="s">
        <v>69</v>
      </c>
      <c r="D139" s="124">
        <v>1.9</v>
      </c>
      <c r="E139" s="124">
        <v>1.9</v>
      </c>
      <c r="F139" s="124">
        <v>1.9</v>
      </c>
      <c r="G139" s="101">
        <f t="shared" ref="G139:G144" si="5">F139/E139</f>
        <v>1</v>
      </c>
      <c r="H139" s="126" t="s">
        <v>390</v>
      </c>
    </row>
    <row r="140" spans="1:11" s="68" customFormat="1" ht="54" outlineLevel="2" x14ac:dyDescent="0.25">
      <c r="A140" s="92" t="s">
        <v>415</v>
      </c>
      <c r="B140" s="93" t="s">
        <v>241</v>
      </c>
      <c r="C140" s="124" t="s">
        <v>69</v>
      </c>
      <c r="D140" s="124">
        <v>38.299999999999997</v>
      </c>
      <c r="E140" s="124">
        <v>34</v>
      </c>
      <c r="F140" s="124">
        <v>34</v>
      </c>
      <c r="G140" s="101">
        <f t="shared" si="5"/>
        <v>1</v>
      </c>
      <c r="H140" s="126" t="s">
        <v>391</v>
      </c>
    </row>
    <row r="141" spans="1:11" s="68" customFormat="1" ht="54" outlineLevel="2" x14ac:dyDescent="0.2">
      <c r="A141" s="92" t="s">
        <v>416</v>
      </c>
      <c r="B141" s="93" t="s">
        <v>242</v>
      </c>
      <c r="C141" s="124" t="s">
        <v>69</v>
      </c>
      <c r="D141" s="124">
        <v>1.76</v>
      </c>
      <c r="E141" s="124">
        <v>1.75</v>
      </c>
      <c r="F141" s="124">
        <v>1.75</v>
      </c>
      <c r="G141" s="101">
        <f t="shared" si="5"/>
        <v>1</v>
      </c>
      <c r="H141" s="126" t="s">
        <v>391</v>
      </c>
      <c r="K141" s="170"/>
    </row>
    <row r="142" spans="1:11" s="68" customFormat="1" ht="35.25" customHeight="1" outlineLevel="2" x14ac:dyDescent="0.25">
      <c r="A142" s="92" t="s">
        <v>417</v>
      </c>
      <c r="B142" s="93" t="s">
        <v>104</v>
      </c>
      <c r="C142" s="124" t="s">
        <v>105</v>
      </c>
      <c r="D142" s="124">
        <v>706.81</v>
      </c>
      <c r="E142" s="124">
        <v>682</v>
      </c>
      <c r="F142" s="124">
        <v>660</v>
      </c>
      <c r="G142" s="101">
        <f t="shared" si="5"/>
        <v>0.97</v>
      </c>
      <c r="H142" s="126" t="s">
        <v>392</v>
      </c>
    </row>
    <row r="143" spans="1:11" s="68" customFormat="1" ht="32.25" customHeight="1" outlineLevel="2" x14ac:dyDescent="0.25">
      <c r="A143" s="92" t="s">
        <v>418</v>
      </c>
      <c r="B143" s="6" t="s">
        <v>106</v>
      </c>
      <c r="C143" s="124" t="s">
        <v>170</v>
      </c>
      <c r="D143" s="124">
        <v>800</v>
      </c>
      <c r="E143" s="124">
        <v>1230</v>
      </c>
      <c r="F143" s="124">
        <v>1215</v>
      </c>
      <c r="G143" s="103">
        <f t="shared" si="5"/>
        <v>0.98799999999999999</v>
      </c>
      <c r="H143" s="126" t="s">
        <v>657</v>
      </c>
    </row>
    <row r="144" spans="1:11" s="68" customFormat="1" ht="54.75" customHeight="1" outlineLevel="2" x14ac:dyDescent="0.25">
      <c r="A144" s="92" t="s">
        <v>419</v>
      </c>
      <c r="B144" s="56" t="s">
        <v>658</v>
      </c>
      <c r="C144" s="124" t="s">
        <v>69</v>
      </c>
      <c r="D144" s="124">
        <v>0</v>
      </c>
      <c r="E144" s="124">
        <v>100</v>
      </c>
      <c r="F144" s="124">
        <v>100</v>
      </c>
      <c r="G144" s="103">
        <f t="shared" si="5"/>
        <v>1</v>
      </c>
      <c r="H144" s="126" t="s">
        <v>346</v>
      </c>
    </row>
    <row r="145" spans="1:8" s="171" customFormat="1" ht="14.25" customHeight="1" outlineLevel="1" x14ac:dyDescent="0.25">
      <c r="A145" s="100"/>
      <c r="B145" s="231" t="s">
        <v>394</v>
      </c>
      <c r="C145" s="232"/>
      <c r="D145" s="232"/>
      <c r="E145" s="232"/>
      <c r="F145" s="232"/>
      <c r="G145" s="232"/>
      <c r="H145" s="233"/>
    </row>
    <row r="146" spans="1:8" s="172" customFormat="1" ht="54" outlineLevel="2" x14ac:dyDescent="0.25">
      <c r="A146" s="92" t="s">
        <v>445</v>
      </c>
      <c r="B146" s="93" t="s">
        <v>244</v>
      </c>
      <c r="C146" s="124" t="s">
        <v>69</v>
      </c>
      <c r="D146" s="124">
        <v>100</v>
      </c>
      <c r="E146" s="124">
        <v>100</v>
      </c>
      <c r="F146" s="124">
        <v>100</v>
      </c>
      <c r="G146" s="101">
        <f>F146/E146</f>
        <v>1</v>
      </c>
      <c r="H146" s="126" t="s">
        <v>346</v>
      </c>
    </row>
    <row r="147" spans="1:8" s="172" customFormat="1" ht="54" outlineLevel="2" x14ac:dyDescent="0.25">
      <c r="A147" s="92" t="s">
        <v>446</v>
      </c>
      <c r="B147" s="93" t="s">
        <v>107</v>
      </c>
      <c r="C147" s="124" t="s">
        <v>69</v>
      </c>
      <c r="D147" s="124">
        <v>100</v>
      </c>
      <c r="E147" s="124">
        <v>100</v>
      </c>
      <c r="F147" s="124">
        <v>100</v>
      </c>
      <c r="G147" s="101">
        <f t="shared" ref="G147:G152" si="6">F147/E147</f>
        <v>1</v>
      </c>
      <c r="H147" s="126" t="s">
        <v>346</v>
      </c>
    </row>
    <row r="148" spans="1:8" s="172" customFormat="1" ht="54" outlineLevel="2" x14ac:dyDescent="0.25">
      <c r="A148" s="92" t="s">
        <v>447</v>
      </c>
      <c r="B148" s="93" t="s">
        <v>111</v>
      </c>
      <c r="C148" s="124" t="s">
        <v>245</v>
      </c>
      <c r="D148" s="124">
        <v>4</v>
      </c>
      <c r="E148" s="124">
        <v>2</v>
      </c>
      <c r="F148" s="124">
        <v>2</v>
      </c>
      <c r="G148" s="101">
        <f t="shared" si="6"/>
        <v>1</v>
      </c>
      <c r="H148" s="126" t="s">
        <v>346</v>
      </c>
    </row>
    <row r="149" spans="1:8" s="172" customFormat="1" ht="54" outlineLevel="2" x14ac:dyDescent="0.25">
      <c r="A149" s="92" t="s">
        <v>448</v>
      </c>
      <c r="B149" s="93" t="s">
        <v>115</v>
      </c>
      <c r="C149" s="124" t="s">
        <v>69</v>
      </c>
      <c r="D149" s="124">
        <v>5.5</v>
      </c>
      <c r="E149" s="124">
        <v>3.8</v>
      </c>
      <c r="F149" s="124">
        <v>3.8</v>
      </c>
      <c r="G149" s="103">
        <f>E149/F149</f>
        <v>1</v>
      </c>
      <c r="H149" s="126" t="s">
        <v>346</v>
      </c>
    </row>
    <row r="150" spans="1:8" s="172" customFormat="1" ht="54" outlineLevel="2" x14ac:dyDescent="0.25">
      <c r="A150" s="92" t="s">
        <v>449</v>
      </c>
      <c r="B150" s="93" t="s">
        <v>246</v>
      </c>
      <c r="C150" s="124" t="s">
        <v>97</v>
      </c>
      <c r="D150" s="124">
        <v>3</v>
      </c>
      <c r="E150" s="124">
        <v>3</v>
      </c>
      <c r="F150" s="124">
        <v>3</v>
      </c>
      <c r="G150" s="101">
        <f t="shared" si="6"/>
        <v>1</v>
      </c>
      <c r="H150" s="126" t="s">
        <v>346</v>
      </c>
    </row>
    <row r="151" spans="1:8" s="172" customFormat="1" ht="54" outlineLevel="2" x14ac:dyDescent="0.25">
      <c r="A151" s="92" t="s">
        <v>450</v>
      </c>
      <c r="B151" s="93" t="s">
        <v>247</v>
      </c>
      <c r="C151" s="124" t="s">
        <v>69</v>
      </c>
      <c r="D151" s="124">
        <v>100</v>
      </c>
      <c r="E151" s="124">
        <v>100</v>
      </c>
      <c r="F151" s="124">
        <v>100</v>
      </c>
      <c r="G151" s="101">
        <f t="shared" si="6"/>
        <v>1</v>
      </c>
      <c r="H151" s="126" t="s">
        <v>346</v>
      </c>
    </row>
    <row r="152" spans="1:8" s="172" customFormat="1" ht="54" outlineLevel="2" x14ac:dyDescent="0.25">
      <c r="A152" s="92" t="s">
        <v>451</v>
      </c>
      <c r="B152" s="94" t="s">
        <v>397</v>
      </c>
      <c r="C152" s="124" t="s">
        <v>69</v>
      </c>
      <c r="D152" s="124">
        <v>1.5</v>
      </c>
      <c r="E152" s="124">
        <v>3.1</v>
      </c>
      <c r="F152" s="124">
        <v>3.1</v>
      </c>
      <c r="G152" s="101">
        <f t="shared" si="6"/>
        <v>1</v>
      </c>
      <c r="H152" s="126" t="s">
        <v>346</v>
      </c>
    </row>
    <row r="153" spans="1:8" s="33" customFormat="1" ht="27.75" customHeight="1" x14ac:dyDescent="0.25">
      <c r="A153" s="1" t="s">
        <v>87</v>
      </c>
      <c r="B153" s="227" t="s">
        <v>61</v>
      </c>
      <c r="C153" s="228"/>
      <c r="D153" s="228"/>
      <c r="E153" s="228"/>
      <c r="F153" s="228"/>
      <c r="G153" s="228"/>
      <c r="H153" s="229"/>
    </row>
    <row r="154" spans="1:8" s="69" customFormat="1" ht="54" outlineLevel="1" x14ac:dyDescent="0.25">
      <c r="A154" s="92" t="s">
        <v>77</v>
      </c>
      <c r="B154" s="93" t="s">
        <v>137</v>
      </c>
      <c r="C154" s="124" t="s">
        <v>138</v>
      </c>
      <c r="D154" s="124">
        <v>5</v>
      </c>
      <c r="E154" s="124">
        <v>7</v>
      </c>
      <c r="F154" s="124">
        <v>7</v>
      </c>
      <c r="G154" s="103">
        <f>F154/E154</f>
        <v>1</v>
      </c>
      <c r="H154" s="126" t="s">
        <v>140</v>
      </c>
    </row>
    <row r="155" spans="1:8" s="69" customFormat="1" ht="27" outlineLevel="1" x14ac:dyDescent="0.25">
      <c r="A155" s="92" t="s">
        <v>78</v>
      </c>
      <c r="B155" s="93" t="s">
        <v>251</v>
      </c>
      <c r="C155" s="124" t="s">
        <v>138</v>
      </c>
      <c r="D155" s="124">
        <v>0</v>
      </c>
      <c r="E155" s="124">
        <v>0</v>
      </c>
      <c r="F155" s="124">
        <v>0</v>
      </c>
      <c r="G155" s="103">
        <v>1</v>
      </c>
      <c r="H155" s="126" t="s">
        <v>141</v>
      </c>
    </row>
    <row r="156" spans="1:8" s="69" customFormat="1" ht="27" outlineLevel="1" x14ac:dyDescent="0.25">
      <c r="A156" s="92" t="s">
        <v>79</v>
      </c>
      <c r="B156" s="93" t="s">
        <v>248</v>
      </c>
      <c r="C156" s="124" t="s">
        <v>69</v>
      </c>
      <c r="D156" s="124">
        <v>76</v>
      </c>
      <c r="E156" s="124">
        <v>85</v>
      </c>
      <c r="F156" s="124">
        <v>66.2</v>
      </c>
      <c r="G156" s="103">
        <f t="shared" ref="G156:G165" si="7">F156/E156</f>
        <v>0.77900000000000003</v>
      </c>
      <c r="H156" s="126" t="s">
        <v>281</v>
      </c>
    </row>
    <row r="157" spans="1:8" s="69" customFormat="1" ht="40.5" outlineLevel="1" x14ac:dyDescent="0.25">
      <c r="A157" s="92" t="s">
        <v>80</v>
      </c>
      <c r="B157" s="93" t="s">
        <v>249</v>
      </c>
      <c r="C157" s="124" t="s">
        <v>69</v>
      </c>
      <c r="D157" s="124">
        <v>48</v>
      </c>
      <c r="E157" s="124">
        <v>79.8</v>
      </c>
      <c r="F157" s="124">
        <v>93.3</v>
      </c>
      <c r="G157" s="103">
        <f t="shared" si="7"/>
        <v>1.169</v>
      </c>
      <c r="H157" s="126" t="s">
        <v>281</v>
      </c>
    </row>
    <row r="158" spans="1:8" s="69" customFormat="1" ht="27" outlineLevel="1" x14ac:dyDescent="0.25">
      <c r="A158" s="92" t="s">
        <v>81</v>
      </c>
      <c r="B158" s="93" t="s">
        <v>250</v>
      </c>
      <c r="C158" s="124" t="s">
        <v>69</v>
      </c>
      <c r="D158" s="124">
        <v>68.3</v>
      </c>
      <c r="E158" s="124">
        <v>86.5</v>
      </c>
      <c r="F158" s="124">
        <v>95.2</v>
      </c>
      <c r="G158" s="103">
        <f t="shared" si="7"/>
        <v>1.101</v>
      </c>
      <c r="H158" s="126" t="s">
        <v>281</v>
      </c>
    </row>
    <row r="159" spans="1:8" s="69" customFormat="1" ht="27" outlineLevel="1" x14ac:dyDescent="0.25">
      <c r="A159" s="92" t="s">
        <v>82</v>
      </c>
      <c r="B159" s="93" t="s">
        <v>142</v>
      </c>
      <c r="C159" s="124" t="s">
        <v>69</v>
      </c>
      <c r="D159" s="3">
        <v>23</v>
      </c>
      <c r="E159" s="3">
        <v>18.3</v>
      </c>
      <c r="F159" s="3">
        <v>20</v>
      </c>
      <c r="G159" s="103">
        <f t="shared" si="7"/>
        <v>1.093</v>
      </c>
      <c r="H159" s="126" t="s">
        <v>141</v>
      </c>
    </row>
    <row r="160" spans="1:8" s="66" customFormat="1" ht="63.75" customHeight="1" outlineLevel="1" x14ac:dyDescent="0.25">
      <c r="A160" s="149" t="s">
        <v>103</v>
      </c>
      <c r="B160" s="141" t="s">
        <v>252</v>
      </c>
      <c r="C160" s="4" t="s">
        <v>69</v>
      </c>
      <c r="D160" s="4">
        <v>9.5</v>
      </c>
      <c r="E160" s="4">
        <v>44.1</v>
      </c>
      <c r="F160" s="165">
        <v>2.2999999999999998</v>
      </c>
      <c r="G160" s="147">
        <f t="shared" si="7"/>
        <v>5.1999999999999998E-2</v>
      </c>
      <c r="H160" s="151" t="s">
        <v>141</v>
      </c>
    </row>
    <row r="161" spans="1:8" s="69" customFormat="1" ht="54" outlineLevel="1" x14ac:dyDescent="0.25">
      <c r="A161" s="92" t="s">
        <v>83</v>
      </c>
      <c r="B161" s="93" t="s">
        <v>253</v>
      </c>
      <c r="C161" s="124" t="s">
        <v>69</v>
      </c>
      <c r="D161" s="124">
        <v>0</v>
      </c>
      <c r="E161" s="124">
        <v>5.2</v>
      </c>
      <c r="F161" s="124">
        <v>8.4</v>
      </c>
      <c r="G161" s="103">
        <f t="shared" si="7"/>
        <v>1.615</v>
      </c>
      <c r="H161" s="126" t="s">
        <v>141</v>
      </c>
    </row>
    <row r="162" spans="1:8" s="69" customFormat="1" ht="30" customHeight="1" outlineLevel="1" x14ac:dyDescent="0.25">
      <c r="A162" s="157" t="s">
        <v>413</v>
      </c>
      <c r="B162" s="93" t="s">
        <v>139</v>
      </c>
      <c r="C162" s="124" t="s">
        <v>69</v>
      </c>
      <c r="D162" s="124">
        <v>100</v>
      </c>
      <c r="E162" s="124">
        <v>100</v>
      </c>
      <c r="F162" s="124">
        <v>100</v>
      </c>
      <c r="G162" s="103">
        <f t="shared" si="7"/>
        <v>1</v>
      </c>
      <c r="H162" s="126" t="s">
        <v>140</v>
      </c>
    </row>
    <row r="163" spans="1:8" s="69" customFormat="1" ht="40.5" outlineLevel="1" x14ac:dyDescent="0.25">
      <c r="A163" s="157" t="s">
        <v>84</v>
      </c>
      <c r="B163" s="93" t="s">
        <v>661</v>
      </c>
      <c r="C163" s="124" t="s">
        <v>660</v>
      </c>
      <c r="D163" s="124" t="s">
        <v>109</v>
      </c>
      <c r="E163" s="124">
        <v>0.13</v>
      </c>
      <c r="F163" s="124">
        <v>0.13</v>
      </c>
      <c r="G163" s="103">
        <f t="shared" si="7"/>
        <v>1</v>
      </c>
      <c r="H163" s="126" t="s">
        <v>460</v>
      </c>
    </row>
    <row r="164" spans="1:8" s="69" customFormat="1" ht="40.5" outlineLevel="1" x14ac:dyDescent="0.25">
      <c r="A164" s="157" t="s">
        <v>85</v>
      </c>
      <c r="B164" s="93" t="s">
        <v>662</v>
      </c>
      <c r="C164" s="124" t="s">
        <v>660</v>
      </c>
      <c r="D164" s="124" t="s">
        <v>109</v>
      </c>
      <c r="E164" s="124">
        <v>2.8</v>
      </c>
      <c r="F164" s="124">
        <v>2.8</v>
      </c>
      <c r="G164" s="103">
        <f t="shared" si="7"/>
        <v>1</v>
      </c>
      <c r="H164" s="126" t="s">
        <v>460</v>
      </c>
    </row>
    <row r="165" spans="1:8" s="69" customFormat="1" ht="54" outlineLevel="1" x14ac:dyDescent="0.25">
      <c r="A165" s="157" t="s">
        <v>86</v>
      </c>
      <c r="B165" s="93" t="s">
        <v>659</v>
      </c>
      <c r="C165" s="124" t="s">
        <v>69</v>
      </c>
      <c r="D165" s="124" t="s">
        <v>109</v>
      </c>
      <c r="E165" s="124">
        <v>100</v>
      </c>
      <c r="F165" s="124">
        <v>100</v>
      </c>
      <c r="G165" s="103">
        <f t="shared" si="7"/>
        <v>1</v>
      </c>
      <c r="H165" s="126" t="s">
        <v>140</v>
      </c>
    </row>
    <row r="166" spans="1:8" ht="30.75" customHeight="1" x14ac:dyDescent="0.25">
      <c r="A166" s="1" t="s">
        <v>88</v>
      </c>
      <c r="B166" s="227" t="s">
        <v>43</v>
      </c>
      <c r="C166" s="228"/>
      <c r="D166" s="228"/>
      <c r="E166" s="228"/>
      <c r="F166" s="228"/>
      <c r="G166" s="228"/>
      <c r="H166" s="229"/>
    </row>
    <row r="167" spans="1:8" s="33" customFormat="1" outlineLevel="1" x14ac:dyDescent="0.25">
      <c r="A167" s="3"/>
      <c r="B167" s="231" t="s">
        <v>254</v>
      </c>
      <c r="C167" s="232"/>
      <c r="D167" s="232"/>
      <c r="E167" s="232"/>
      <c r="F167" s="232"/>
      <c r="G167" s="232"/>
      <c r="H167" s="233"/>
    </row>
    <row r="168" spans="1:8" ht="40.5" outlineLevel="2" x14ac:dyDescent="0.25">
      <c r="A168" s="7" t="s">
        <v>414</v>
      </c>
      <c r="B168" s="6" t="s">
        <v>701</v>
      </c>
      <c r="C168" s="50" t="s">
        <v>97</v>
      </c>
      <c r="D168" s="50">
        <v>4</v>
      </c>
      <c r="E168" s="50">
        <v>0</v>
      </c>
      <c r="F168" s="50">
        <v>0</v>
      </c>
      <c r="G168" s="10">
        <v>1</v>
      </c>
      <c r="H168" s="52" t="s">
        <v>276</v>
      </c>
    </row>
    <row r="169" spans="1:8" ht="40.5" outlineLevel="2" x14ac:dyDescent="0.25">
      <c r="A169" s="7" t="s">
        <v>415</v>
      </c>
      <c r="B169" s="6" t="s">
        <v>375</v>
      </c>
      <c r="C169" s="50" t="s">
        <v>97</v>
      </c>
      <c r="D169" s="50">
        <v>10</v>
      </c>
      <c r="E169" s="50">
        <v>12</v>
      </c>
      <c r="F169" s="50">
        <v>12</v>
      </c>
      <c r="G169" s="10">
        <f>F169/E169</f>
        <v>1</v>
      </c>
      <c r="H169" s="52" t="s">
        <v>370</v>
      </c>
    </row>
    <row r="170" spans="1:8" ht="30" customHeight="1" outlineLevel="1" x14ac:dyDescent="0.25">
      <c r="A170" s="3"/>
      <c r="B170" s="231" t="s">
        <v>277</v>
      </c>
      <c r="C170" s="232"/>
      <c r="D170" s="232"/>
      <c r="E170" s="232"/>
      <c r="F170" s="232"/>
      <c r="G170" s="232"/>
      <c r="H170" s="233"/>
    </row>
    <row r="171" spans="1:8" ht="112.5" customHeight="1" outlineLevel="2" x14ac:dyDescent="0.25">
      <c r="A171" s="8" t="s">
        <v>425</v>
      </c>
      <c r="B171" s="9" t="s">
        <v>368</v>
      </c>
      <c r="C171" s="50" t="s">
        <v>69</v>
      </c>
      <c r="D171" s="50">
        <v>50</v>
      </c>
      <c r="E171" s="50">
        <v>99</v>
      </c>
      <c r="F171" s="50">
        <v>99</v>
      </c>
      <c r="G171" s="10">
        <f t="shared" ref="G171:G176" si="8">F171/E171</f>
        <v>1</v>
      </c>
      <c r="H171" s="51" t="s">
        <v>370</v>
      </c>
    </row>
    <row r="172" spans="1:8" ht="45" customHeight="1" outlineLevel="2" x14ac:dyDescent="0.25">
      <c r="A172" s="8" t="s">
        <v>426</v>
      </c>
      <c r="B172" s="9" t="s">
        <v>371</v>
      </c>
      <c r="C172" s="50" t="s">
        <v>69</v>
      </c>
      <c r="D172" s="50">
        <v>95</v>
      </c>
      <c r="E172" s="50">
        <v>99</v>
      </c>
      <c r="F172" s="50">
        <v>99</v>
      </c>
      <c r="G172" s="10">
        <f t="shared" si="8"/>
        <v>1</v>
      </c>
      <c r="H172" s="51" t="s">
        <v>370</v>
      </c>
    </row>
    <row r="173" spans="1:8" ht="40.5" outlineLevel="2" x14ac:dyDescent="0.25">
      <c r="A173" s="8" t="s">
        <v>427</v>
      </c>
      <c r="B173" s="9" t="s">
        <v>369</v>
      </c>
      <c r="C173" s="50" t="s">
        <v>69</v>
      </c>
      <c r="D173" s="50">
        <v>0</v>
      </c>
      <c r="E173" s="50">
        <v>100</v>
      </c>
      <c r="F173" s="50">
        <v>100</v>
      </c>
      <c r="G173" s="10">
        <f t="shared" si="8"/>
        <v>1</v>
      </c>
      <c r="H173" s="51" t="s">
        <v>370</v>
      </c>
    </row>
    <row r="174" spans="1:8" ht="54.75" customHeight="1" outlineLevel="2" x14ac:dyDescent="0.25">
      <c r="A174" s="8" t="s">
        <v>433</v>
      </c>
      <c r="B174" s="9" t="s">
        <v>372</v>
      </c>
      <c r="C174" s="50" t="s">
        <v>255</v>
      </c>
      <c r="D174" s="50">
        <v>3.8</v>
      </c>
      <c r="E174" s="15">
        <v>4</v>
      </c>
      <c r="F174" s="4">
        <v>4</v>
      </c>
      <c r="G174" s="10">
        <f t="shared" si="8"/>
        <v>1</v>
      </c>
      <c r="H174" s="52" t="s">
        <v>373</v>
      </c>
    </row>
    <row r="175" spans="1:8" ht="81" outlineLevel="2" x14ac:dyDescent="0.25">
      <c r="A175" s="3" t="s">
        <v>434</v>
      </c>
      <c r="B175" s="9" t="s">
        <v>374</v>
      </c>
      <c r="C175" s="50" t="s">
        <v>167</v>
      </c>
      <c r="D175" s="50">
        <v>0</v>
      </c>
      <c r="E175" s="15">
        <v>20</v>
      </c>
      <c r="F175" s="4">
        <v>20</v>
      </c>
      <c r="G175" s="10">
        <f t="shared" si="8"/>
        <v>1</v>
      </c>
      <c r="H175" s="52" t="s">
        <v>370</v>
      </c>
    </row>
    <row r="176" spans="1:8" ht="67.5" outlineLevel="2" x14ac:dyDescent="0.25">
      <c r="A176" s="3" t="s">
        <v>487</v>
      </c>
      <c r="B176" s="9" t="s">
        <v>486</v>
      </c>
      <c r="C176" s="50" t="s">
        <v>97</v>
      </c>
      <c r="D176" s="50">
        <v>0</v>
      </c>
      <c r="E176" s="15">
        <v>7</v>
      </c>
      <c r="F176" s="4">
        <v>7</v>
      </c>
      <c r="G176" s="10">
        <f t="shared" si="8"/>
        <v>1</v>
      </c>
      <c r="H176" s="52" t="s">
        <v>370</v>
      </c>
    </row>
    <row r="177" spans="1:8" s="33" customFormat="1" x14ac:dyDescent="0.25">
      <c r="A177" s="1" t="s">
        <v>89</v>
      </c>
      <c r="B177" s="227" t="s">
        <v>66</v>
      </c>
      <c r="C177" s="228"/>
      <c r="D177" s="228"/>
      <c r="E177" s="228"/>
      <c r="F177" s="228"/>
      <c r="G177" s="228"/>
      <c r="H177" s="229"/>
    </row>
    <row r="178" spans="1:8" s="69" customFormat="1" ht="67.5" outlineLevel="1" x14ac:dyDescent="0.25">
      <c r="A178" s="92" t="s">
        <v>77</v>
      </c>
      <c r="B178" s="93" t="s">
        <v>256</v>
      </c>
      <c r="C178" s="124" t="s">
        <v>126</v>
      </c>
      <c r="D178" s="124">
        <v>0</v>
      </c>
      <c r="E178" s="124">
        <v>0</v>
      </c>
      <c r="F178" s="124">
        <v>0</v>
      </c>
      <c r="G178" s="101" t="s">
        <v>109</v>
      </c>
      <c r="H178" s="158" t="s">
        <v>347</v>
      </c>
    </row>
    <row r="179" spans="1:8" s="69" customFormat="1" ht="67.5" outlineLevel="1" x14ac:dyDescent="0.25">
      <c r="A179" s="92" t="s">
        <v>78</v>
      </c>
      <c r="B179" s="93" t="s">
        <v>257</v>
      </c>
      <c r="C179" s="124" t="s">
        <v>69</v>
      </c>
      <c r="D179" s="124">
        <v>43</v>
      </c>
      <c r="E179" s="124">
        <v>71</v>
      </c>
      <c r="F179" s="124">
        <v>71</v>
      </c>
      <c r="G179" s="101">
        <f>F179/E179</f>
        <v>1</v>
      </c>
      <c r="H179" s="158" t="s">
        <v>347</v>
      </c>
    </row>
    <row r="180" spans="1:8" s="69" customFormat="1" ht="67.5" outlineLevel="1" x14ac:dyDescent="0.25">
      <c r="A180" s="92" t="s">
        <v>79</v>
      </c>
      <c r="B180" s="93" t="s">
        <v>258</v>
      </c>
      <c r="C180" s="124" t="s">
        <v>69</v>
      </c>
      <c r="D180" s="124">
        <v>0</v>
      </c>
      <c r="E180" s="124">
        <v>0</v>
      </c>
      <c r="F180" s="124">
        <v>0</v>
      </c>
      <c r="G180" s="101" t="s">
        <v>109</v>
      </c>
      <c r="H180" s="158" t="s">
        <v>347</v>
      </c>
    </row>
    <row r="181" spans="1:8" s="69" customFormat="1" ht="67.5" outlineLevel="1" x14ac:dyDescent="0.25">
      <c r="A181" s="92" t="s">
        <v>80</v>
      </c>
      <c r="B181" s="93" t="s">
        <v>125</v>
      </c>
      <c r="C181" s="124" t="s">
        <v>69</v>
      </c>
      <c r="D181" s="124">
        <v>25</v>
      </c>
      <c r="E181" s="124">
        <v>30</v>
      </c>
      <c r="F181" s="124">
        <v>30</v>
      </c>
      <c r="G181" s="101">
        <f>F181/E181</f>
        <v>1</v>
      </c>
      <c r="H181" s="158" t="s">
        <v>347</v>
      </c>
    </row>
    <row r="182" spans="1:8" s="69" customFormat="1" ht="73.5" customHeight="1" outlineLevel="1" x14ac:dyDescent="0.25">
      <c r="A182" s="92" t="s">
        <v>81</v>
      </c>
      <c r="B182" s="94" t="s">
        <v>388</v>
      </c>
      <c r="C182" s="124" t="s">
        <v>69</v>
      </c>
      <c r="D182" s="124">
        <v>0</v>
      </c>
      <c r="E182" s="124">
        <v>100</v>
      </c>
      <c r="F182" s="124">
        <v>100</v>
      </c>
      <c r="G182" s="101">
        <f>F182/E182</f>
        <v>1</v>
      </c>
      <c r="H182" s="158" t="s">
        <v>347</v>
      </c>
    </row>
    <row r="183" spans="1:8" s="33" customFormat="1" ht="12.75" customHeight="1" x14ac:dyDescent="0.25">
      <c r="A183" s="1" t="s">
        <v>90</v>
      </c>
      <c r="B183" s="227" t="s">
        <v>172</v>
      </c>
      <c r="C183" s="228"/>
      <c r="D183" s="228"/>
      <c r="E183" s="228"/>
      <c r="F183" s="228"/>
      <c r="G183" s="228"/>
      <c r="H183" s="229"/>
    </row>
    <row r="184" spans="1:8" s="68" customFormat="1" ht="40.5" outlineLevel="2" x14ac:dyDescent="0.25">
      <c r="A184" s="92" t="s">
        <v>77</v>
      </c>
      <c r="B184" s="95" t="s">
        <v>146</v>
      </c>
      <c r="C184" s="126" t="s">
        <v>69</v>
      </c>
      <c r="D184" s="3">
        <v>7</v>
      </c>
      <c r="E184" s="3">
        <v>5</v>
      </c>
      <c r="F184" s="3">
        <v>5</v>
      </c>
      <c r="G184" s="103">
        <f>F184/E184</f>
        <v>1</v>
      </c>
      <c r="H184" s="126" t="s">
        <v>376</v>
      </c>
    </row>
    <row r="185" spans="1:8" s="68" customFormat="1" ht="54" outlineLevel="2" x14ac:dyDescent="0.25">
      <c r="A185" s="92" t="s">
        <v>78</v>
      </c>
      <c r="B185" s="95" t="s">
        <v>147</v>
      </c>
      <c r="C185" s="126" t="s">
        <v>69</v>
      </c>
      <c r="D185" s="3">
        <v>23</v>
      </c>
      <c r="E185" s="3">
        <v>17</v>
      </c>
      <c r="F185" s="3">
        <v>17</v>
      </c>
      <c r="G185" s="103">
        <f>F185/E185</f>
        <v>1</v>
      </c>
      <c r="H185" s="126" t="s">
        <v>376</v>
      </c>
    </row>
    <row r="186" spans="1:8" s="68" customFormat="1" ht="40.5" outlineLevel="2" x14ac:dyDescent="0.25">
      <c r="A186" s="92" t="s">
        <v>79</v>
      </c>
      <c r="B186" s="95" t="s">
        <v>148</v>
      </c>
      <c r="C186" s="126" t="s">
        <v>69</v>
      </c>
      <c r="D186" s="3">
        <v>83</v>
      </c>
      <c r="E186" s="3">
        <v>94</v>
      </c>
      <c r="F186" s="3">
        <v>94</v>
      </c>
      <c r="G186" s="103">
        <f>F186/E186</f>
        <v>1</v>
      </c>
      <c r="H186" s="126" t="s">
        <v>376</v>
      </c>
    </row>
    <row r="187" spans="1:8" s="68" customFormat="1" ht="40.5" outlineLevel="2" x14ac:dyDescent="0.25">
      <c r="A187" s="157" t="s">
        <v>80</v>
      </c>
      <c r="B187" s="95" t="s">
        <v>259</v>
      </c>
      <c r="C187" s="126" t="s">
        <v>69</v>
      </c>
      <c r="D187" s="3">
        <v>100</v>
      </c>
      <c r="E187" s="3">
        <v>100</v>
      </c>
      <c r="F187" s="3">
        <v>100</v>
      </c>
      <c r="G187" s="103">
        <v>1</v>
      </c>
      <c r="H187" s="126" t="s">
        <v>376</v>
      </c>
    </row>
    <row r="188" spans="1:8" s="33" customFormat="1" ht="13.5" customHeight="1" x14ac:dyDescent="0.25">
      <c r="A188" s="1" t="s">
        <v>91</v>
      </c>
      <c r="B188" s="227" t="s">
        <v>46</v>
      </c>
      <c r="C188" s="228"/>
      <c r="D188" s="228"/>
      <c r="E188" s="228"/>
      <c r="F188" s="228"/>
      <c r="G188" s="228"/>
      <c r="H188" s="229"/>
    </row>
    <row r="189" spans="1:8" s="68" customFormat="1" ht="40.5" outlineLevel="2" x14ac:dyDescent="0.25">
      <c r="A189" s="92" t="s">
        <v>77</v>
      </c>
      <c r="B189" s="95" t="s">
        <v>149</v>
      </c>
      <c r="C189" s="126" t="s">
        <v>97</v>
      </c>
      <c r="D189" s="3">
        <v>78</v>
      </c>
      <c r="E189" s="3">
        <v>196</v>
      </c>
      <c r="F189" s="3">
        <v>225</v>
      </c>
      <c r="G189" s="103">
        <f>F189/E189</f>
        <v>1.1479999999999999</v>
      </c>
      <c r="H189" s="126" t="s">
        <v>411</v>
      </c>
    </row>
    <row r="190" spans="1:8" s="68" customFormat="1" ht="33.75" customHeight="1" outlineLevel="2" x14ac:dyDescent="0.25">
      <c r="A190" s="92" t="s">
        <v>78</v>
      </c>
      <c r="B190" s="95" t="s">
        <v>150</v>
      </c>
      <c r="C190" s="126" t="s">
        <v>138</v>
      </c>
      <c r="D190" s="3">
        <v>582</v>
      </c>
      <c r="E190" s="3">
        <v>3200</v>
      </c>
      <c r="F190" s="3">
        <v>4362</v>
      </c>
      <c r="G190" s="103">
        <f>F190/E190</f>
        <v>1.363</v>
      </c>
      <c r="H190" s="126" t="s">
        <v>410</v>
      </c>
    </row>
    <row r="191" spans="1:8" s="68" customFormat="1" ht="40.5" outlineLevel="2" x14ac:dyDescent="0.25">
      <c r="A191" s="92" t="s">
        <v>79</v>
      </c>
      <c r="B191" s="95" t="s">
        <v>152</v>
      </c>
      <c r="C191" s="126" t="s">
        <v>69</v>
      </c>
      <c r="D191" s="3">
        <v>80</v>
      </c>
      <c r="E191" s="3">
        <v>89</v>
      </c>
      <c r="F191" s="3">
        <v>98.5</v>
      </c>
      <c r="G191" s="103">
        <f>F191/E191</f>
        <v>1.107</v>
      </c>
      <c r="H191" s="126" t="s">
        <v>151</v>
      </c>
    </row>
    <row r="192" spans="1:8" s="68" customFormat="1" ht="136.5" customHeight="1" outlineLevel="2" x14ac:dyDescent="0.25">
      <c r="A192" s="92" t="s">
        <v>80</v>
      </c>
      <c r="B192" s="95" t="s">
        <v>153</v>
      </c>
      <c r="C192" s="126" t="s">
        <v>69</v>
      </c>
      <c r="D192" s="3">
        <v>73.2</v>
      </c>
      <c r="E192" s="99">
        <v>93</v>
      </c>
      <c r="F192" s="3">
        <v>100</v>
      </c>
      <c r="G192" s="103">
        <f>F192/E192</f>
        <v>1.075</v>
      </c>
      <c r="H192" s="126" t="s">
        <v>154</v>
      </c>
    </row>
    <row r="193" spans="1:8" ht="14.25" customHeight="1" x14ac:dyDescent="0.25">
      <c r="A193" s="1" t="s">
        <v>92</v>
      </c>
      <c r="B193" s="227" t="s">
        <v>53</v>
      </c>
      <c r="C193" s="228"/>
      <c r="D193" s="228"/>
      <c r="E193" s="228"/>
      <c r="F193" s="228"/>
      <c r="G193" s="228"/>
      <c r="H193" s="229"/>
    </row>
    <row r="194" spans="1:8" s="68" customFormat="1" ht="15" customHeight="1" outlineLevel="1" x14ac:dyDescent="0.25">
      <c r="A194" s="100"/>
      <c r="B194" s="231" t="s">
        <v>677</v>
      </c>
      <c r="C194" s="232"/>
      <c r="D194" s="232"/>
      <c r="E194" s="232"/>
      <c r="F194" s="232"/>
      <c r="G194" s="232"/>
      <c r="H194" s="233"/>
    </row>
    <row r="195" spans="1:8" s="68" customFormat="1" ht="40.5" outlineLevel="2" x14ac:dyDescent="0.25">
      <c r="A195" s="195" t="s">
        <v>414</v>
      </c>
      <c r="B195" s="196" t="s">
        <v>678</v>
      </c>
      <c r="C195" s="197" t="s">
        <v>679</v>
      </c>
      <c r="D195" s="198" t="s">
        <v>680</v>
      </c>
      <c r="E195" s="198">
        <v>184.47</v>
      </c>
      <c r="F195" s="198">
        <v>184.47</v>
      </c>
      <c r="G195" s="101">
        <f>F195/E195</f>
        <v>1</v>
      </c>
      <c r="H195" s="211" t="s">
        <v>367</v>
      </c>
    </row>
    <row r="196" spans="1:8" s="68" customFormat="1" ht="40.5" outlineLevel="2" x14ac:dyDescent="0.25">
      <c r="A196" s="195" t="s">
        <v>415</v>
      </c>
      <c r="B196" s="196" t="s">
        <v>681</v>
      </c>
      <c r="C196" s="197" t="s">
        <v>679</v>
      </c>
      <c r="D196" s="198" t="s">
        <v>680</v>
      </c>
      <c r="E196" s="198">
        <v>2.1139999999999999</v>
      </c>
      <c r="F196" s="198">
        <v>2.1139999999999999</v>
      </c>
      <c r="G196" s="101">
        <f t="shared" ref="G196:G201" si="9">F196/E196</f>
        <v>1</v>
      </c>
      <c r="H196" s="211" t="s">
        <v>367</v>
      </c>
    </row>
    <row r="197" spans="1:8" s="68" customFormat="1" ht="67.5" outlineLevel="1" x14ac:dyDescent="0.25">
      <c r="A197" s="195" t="s">
        <v>416</v>
      </c>
      <c r="B197" s="196" t="s">
        <v>682</v>
      </c>
      <c r="C197" s="197" t="s">
        <v>679</v>
      </c>
      <c r="D197" s="198" t="s">
        <v>680</v>
      </c>
      <c r="E197" s="198" t="s">
        <v>109</v>
      </c>
      <c r="F197" s="198" t="s">
        <v>109</v>
      </c>
      <c r="G197" s="101" t="s">
        <v>109</v>
      </c>
      <c r="H197" s="211" t="s">
        <v>367</v>
      </c>
    </row>
    <row r="198" spans="1:8" s="68" customFormat="1" ht="40.5" outlineLevel="2" x14ac:dyDescent="0.25">
      <c r="A198" s="195" t="s">
        <v>417</v>
      </c>
      <c r="B198" s="196" t="s">
        <v>683</v>
      </c>
      <c r="C198" s="197" t="s">
        <v>679</v>
      </c>
      <c r="D198" s="198" t="s">
        <v>680</v>
      </c>
      <c r="E198" s="198">
        <v>0.78500000000000003</v>
      </c>
      <c r="F198" s="198">
        <v>0.78500000000000003</v>
      </c>
      <c r="G198" s="101">
        <f t="shared" si="9"/>
        <v>1</v>
      </c>
      <c r="H198" s="211" t="s">
        <v>367</v>
      </c>
    </row>
    <row r="199" spans="1:8" s="68" customFormat="1" ht="67.5" outlineLevel="2" x14ac:dyDescent="0.25">
      <c r="A199" s="195" t="s">
        <v>418</v>
      </c>
      <c r="B199" s="196" t="s">
        <v>684</v>
      </c>
      <c r="C199" s="197" t="s">
        <v>679</v>
      </c>
      <c r="D199" s="198" t="s">
        <v>680</v>
      </c>
      <c r="E199" s="198">
        <v>1.329</v>
      </c>
      <c r="F199" s="198">
        <v>1.329</v>
      </c>
      <c r="G199" s="101">
        <f t="shared" si="9"/>
        <v>1</v>
      </c>
      <c r="H199" s="211" t="s">
        <v>367</v>
      </c>
    </row>
    <row r="200" spans="1:8" s="68" customFormat="1" ht="67.5" outlineLevel="2" x14ac:dyDescent="0.25">
      <c r="A200" s="195" t="s">
        <v>419</v>
      </c>
      <c r="B200" s="196" t="s">
        <v>685</v>
      </c>
      <c r="C200" s="197" t="s">
        <v>679</v>
      </c>
      <c r="D200" s="198" t="s">
        <v>680</v>
      </c>
      <c r="E200" s="198">
        <v>0.2</v>
      </c>
      <c r="F200" s="198">
        <v>0.2</v>
      </c>
      <c r="G200" s="101">
        <f t="shared" si="9"/>
        <v>1</v>
      </c>
      <c r="H200" s="211" t="s">
        <v>367</v>
      </c>
    </row>
    <row r="201" spans="1:8" s="68" customFormat="1" ht="67.5" outlineLevel="1" x14ac:dyDescent="0.25">
      <c r="A201" s="195" t="s">
        <v>420</v>
      </c>
      <c r="B201" s="196" t="s">
        <v>686</v>
      </c>
      <c r="C201" s="197" t="s">
        <v>679</v>
      </c>
      <c r="D201" s="198" t="s">
        <v>680</v>
      </c>
      <c r="E201" s="198">
        <v>164.98</v>
      </c>
      <c r="F201" s="198">
        <v>162.97</v>
      </c>
      <c r="G201" s="101">
        <f t="shared" si="9"/>
        <v>0.99</v>
      </c>
      <c r="H201" s="211" t="s">
        <v>367</v>
      </c>
    </row>
    <row r="202" spans="1:8" s="68" customFormat="1" ht="67.5" outlineLevel="2" x14ac:dyDescent="0.25">
      <c r="A202" s="195" t="s">
        <v>421</v>
      </c>
      <c r="B202" s="196" t="s">
        <v>687</v>
      </c>
      <c r="C202" s="197" t="s">
        <v>69</v>
      </c>
      <c r="D202" s="198" t="s">
        <v>680</v>
      </c>
      <c r="E202" s="198">
        <v>10.57</v>
      </c>
      <c r="F202" s="198">
        <v>11.66</v>
      </c>
      <c r="G202" s="101">
        <f>E202/F202</f>
        <v>0.91</v>
      </c>
      <c r="H202" s="211" t="s">
        <v>367</v>
      </c>
    </row>
    <row r="203" spans="1:8" s="68" customFormat="1" outlineLevel="2" x14ac:dyDescent="0.25">
      <c r="A203" s="92"/>
      <c r="B203" s="231" t="s">
        <v>49</v>
      </c>
      <c r="C203" s="232"/>
      <c r="D203" s="232"/>
      <c r="E203" s="232"/>
      <c r="F203" s="232"/>
      <c r="G203" s="232"/>
      <c r="H203" s="233"/>
    </row>
    <row r="204" spans="1:8" s="68" customFormat="1" ht="40.5" outlineLevel="2" x14ac:dyDescent="0.25">
      <c r="A204" s="195" t="s">
        <v>425</v>
      </c>
      <c r="B204" s="196" t="s">
        <v>156</v>
      </c>
      <c r="C204" s="197" t="s">
        <v>97</v>
      </c>
      <c r="D204" s="198">
        <v>225</v>
      </c>
      <c r="E204" s="198">
        <v>180</v>
      </c>
      <c r="F204" s="208">
        <v>164</v>
      </c>
      <c r="G204" s="103">
        <f>F204/E204</f>
        <v>0.91100000000000003</v>
      </c>
      <c r="H204" s="211" t="s">
        <v>367</v>
      </c>
    </row>
    <row r="205" spans="1:8" s="68" customFormat="1" ht="40.5" outlineLevel="2" x14ac:dyDescent="0.25">
      <c r="A205" s="195" t="s">
        <v>426</v>
      </c>
      <c r="B205" s="196" t="s">
        <v>688</v>
      </c>
      <c r="C205" s="197" t="s">
        <v>97</v>
      </c>
      <c r="D205" s="198" t="s">
        <v>680</v>
      </c>
      <c r="E205" s="198" t="s">
        <v>109</v>
      </c>
      <c r="F205" s="208" t="s">
        <v>109</v>
      </c>
      <c r="G205" s="103" t="s">
        <v>109</v>
      </c>
      <c r="H205" s="211" t="s">
        <v>367</v>
      </c>
    </row>
    <row r="206" spans="1:8" s="68" customFormat="1" ht="40.5" outlineLevel="2" x14ac:dyDescent="0.25">
      <c r="A206" s="195" t="s">
        <v>427</v>
      </c>
      <c r="B206" s="196" t="s">
        <v>157</v>
      </c>
      <c r="C206" s="197" t="s">
        <v>97</v>
      </c>
      <c r="D206" s="198">
        <v>8472</v>
      </c>
      <c r="E206" s="198">
        <v>7800</v>
      </c>
      <c r="F206" s="208">
        <v>8049</v>
      </c>
      <c r="G206" s="103">
        <f>F206/E206</f>
        <v>1.032</v>
      </c>
      <c r="H206" s="211" t="s">
        <v>367</v>
      </c>
    </row>
    <row r="207" spans="1:8" s="68" customFormat="1" ht="40.5" outlineLevel="2" x14ac:dyDescent="0.25">
      <c r="A207" s="195" t="s">
        <v>433</v>
      </c>
      <c r="B207" s="196" t="s">
        <v>158</v>
      </c>
      <c r="C207" s="197" t="s">
        <v>97</v>
      </c>
      <c r="D207" s="198">
        <v>46</v>
      </c>
      <c r="E207" s="198">
        <v>46</v>
      </c>
      <c r="F207" s="198">
        <v>41</v>
      </c>
      <c r="G207" s="103">
        <f>F207/E207</f>
        <v>0.89100000000000001</v>
      </c>
      <c r="H207" s="211" t="s">
        <v>367</v>
      </c>
    </row>
    <row r="208" spans="1:8" s="68" customFormat="1" outlineLevel="2" x14ac:dyDescent="0.25">
      <c r="A208" s="92"/>
      <c r="B208" s="231" t="s">
        <v>689</v>
      </c>
      <c r="C208" s="232"/>
      <c r="D208" s="232"/>
      <c r="E208" s="232"/>
      <c r="F208" s="232"/>
      <c r="G208" s="232"/>
      <c r="H208" s="233"/>
    </row>
    <row r="209" spans="1:8" s="68" customFormat="1" ht="40.5" outlineLevel="2" x14ac:dyDescent="0.25">
      <c r="A209" s="195" t="s">
        <v>428</v>
      </c>
      <c r="B209" s="196" t="s">
        <v>690</v>
      </c>
      <c r="C209" s="197" t="s">
        <v>159</v>
      </c>
      <c r="D209" s="198">
        <v>45776</v>
      </c>
      <c r="E209" s="198">
        <v>47552</v>
      </c>
      <c r="F209" s="198">
        <v>47552</v>
      </c>
      <c r="G209" s="101">
        <f>F209/E209</f>
        <v>1</v>
      </c>
      <c r="H209" s="211" t="s">
        <v>367</v>
      </c>
    </row>
    <row r="210" spans="1:8" s="68" customFormat="1" ht="40.5" outlineLevel="2" x14ac:dyDescent="0.25">
      <c r="A210" s="195" t="s">
        <v>429</v>
      </c>
      <c r="B210" s="196" t="s">
        <v>160</v>
      </c>
      <c r="C210" s="197" t="s">
        <v>97</v>
      </c>
      <c r="D210" s="198">
        <v>35</v>
      </c>
      <c r="E210" s="198">
        <v>35</v>
      </c>
      <c r="F210" s="198">
        <v>35</v>
      </c>
      <c r="G210" s="101">
        <f>F210/E210</f>
        <v>1</v>
      </c>
      <c r="H210" s="211" t="s">
        <v>367</v>
      </c>
    </row>
    <row r="211" spans="1:8" s="68" customFormat="1" ht="40.5" outlineLevel="2" x14ac:dyDescent="0.25">
      <c r="A211" s="195" t="s">
        <v>430</v>
      </c>
      <c r="B211" s="196" t="s">
        <v>691</v>
      </c>
      <c r="C211" s="197" t="s">
        <v>97</v>
      </c>
      <c r="D211" s="198">
        <v>1400</v>
      </c>
      <c r="E211" s="198">
        <v>1490</v>
      </c>
      <c r="F211" s="198">
        <v>1490</v>
      </c>
      <c r="G211" s="101">
        <f>F211/E211</f>
        <v>1</v>
      </c>
      <c r="H211" s="211" t="s">
        <v>367</v>
      </c>
    </row>
    <row r="212" spans="1:8" s="68" customFormat="1" ht="40.5" outlineLevel="2" x14ac:dyDescent="0.25">
      <c r="A212" s="195" t="s">
        <v>431</v>
      </c>
      <c r="B212" s="196" t="s">
        <v>161</v>
      </c>
      <c r="C212" s="197" t="s">
        <v>692</v>
      </c>
      <c r="D212" s="198">
        <v>7500</v>
      </c>
      <c r="E212" s="198">
        <v>7700</v>
      </c>
      <c r="F212" s="198">
        <v>7700</v>
      </c>
      <c r="G212" s="101">
        <f>F212/E212</f>
        <v>1</v>
      </c>
      <c r="H212" s="211" t="s">
        <v>367</v>
      </c>
    </row>
    <row r="213" spans="1:8" s="68" customFormat="1" ht="40.5" outlineLevel="2" x14ac:dyDescent="0.25">
      <c r="A213" s="195" t="s">
        <v>432</v>
      </c>
      <c r="B213" s="196" t="s">
        <v>162</v>
      </c>
      <c r="C213" s="197" t="s">
        <v>121</v>
      </c>
      <c r="D213" s="198">
        <v>3</v>
      </c>
      <c r="E213" s="199">
        <v>6</v>
      </c>
      <c r="F213" s="199">
        <v>6</v>
      </c>
      <c r="G213" s="101">
        <f>F213/E213</f>
        <v>1</v>
      </c>
      <c r="H213" s="211" t="s">
        <v>367</v>
      </c>
    </row>
    <row r="214" spans="1:8" x14ac:dyDescent="0.25">
      <c r="A214" s="1" t="s">
        <v>93</v>
      </c>
      <c r="B214" s="227" t="s">
        <v>666</v>
      </c>
      <c r="C214" s="228"/>
      <c r="D214" s="228"/>
      <c r="E214" s="228"/>
      <c r="F214" s="228"/>
      <c r="G214" s="228"/>
      <c r="H214" s="229"/>
    </row>
    <row r="215" spans="1:8" s="68" customFormat="1" ht="15" customHeight="1" outlineLevel="1" x14ac:dyDescent="0.25">
      <c r="A215" s="100"/>
      <c r="B215" s="231" t="s">
        <v>163</v>
      </c>
      <c r="C215" s="232"/>
      <c r="D215" s="232"/>
      <c r="E215" s="232"/>
      <c r="F215" s="232"/>
      <c r="G215" s="232"/>
      <c r="H215" s="233"/>
    </row>
    <row r="216" spans="1:8" s="68" customFormat="1" ht="67.5" outlineLevel="2" x14ac:dyDescent="0.25">
      <c r="A216" s="92" t="s">
        <v>414</v>
      </c>
      <c r="B216" s="95" t="s">
        <v>260</v>
      </c>
      <c r="C216" s="3" t="s">
        <v>69</v>
      </c>
      <c r="D216" s="3">
        <v>103</v>
      </c>
      <c r="E216" s="3" t="s">
        <v>165</v>
      </c>
      <c r="F216" s="103">
        <v>1.0469999999999999</v>
      </c>
      <c r="G216" s="179">
        <v>1</v>
      </c>
      <c r="H216" s="124" t="s">
        <v>363</v>
      </c>
    </row>
    <row r="217" spans="1:8" s="68" customFormat="1" ht="54" outlineLevel="2" x14ac:dyDescent="0.25">
      <c r="A217" s="92" t="s">
        <v>415</v>
      </c>
      <c r="B217" s="95" t="s">
        <v>164</v>
      </c>
      <c r="C217" s="181" t="s">
        <v>69</v>
      </c>
      <c r="D217" s="182">
        <v>95</v>
      </c>
      <c r="E217" s="3" t="s">
        <v>165</v>
      </c>
      <c r="F217" s="103">
        <v>0.97699999999999998</v>
      </c>
      <c r="G217" s="179">
        <v>1</v>
      </c>
      <c r="H217" s="124" t="s">
        <v>363</v>
      </c>
    </row>
    <row r="218" spans="1:8" s="68" customFormat="1" ht="54" outlineLevel="2" x14ac:dyDescent="0.25">
      <c r="A218" s="92" t="s">
        <v>416</v>
      </c>
      <c r="B218" s="95" t="s">
        <v>261</v>
      </c>
      <c r="C218" s="185" t="s">
        <v>423</v>
      </c>
      <c r="D218" s="182">
        <v>1</v>
      </c>
      <c r="E218" s="182" t="s">
        <v>262</v>
      </c>
      <c r="F218" s="183">
        <v>2</v>
      </c>
      <c r="G218" s="179">
        <v>1</v>
      </c>
      <c r="H218" s="124" t="s">
        <v>363</v>
      </c>
    </row>
    <row r="219" spans="1:8" s="68" customFormat="1" ht="48" customHeight="1" outlineLevel="2" x14ac:dyDescent="0.25">
      <c r="A219" s="92" t="s">
        <v>417</v>
      </c>
      <c r="B219" s="95" t="s">
        <v>263</v>
      </c>
      <c r="C219" s="179" t="s">
        <v>69</v>
      </c>
      <c r="D219" s="182" t="s">
        <v>264</v>
      </c>
      <c r="E219" s="182" t="s">
        <v>264</v>
      </c>
      <c r="F219" s="182" t="s">
        <v>264</v>
      </c>
      <c r="G219" s="179">
        <v>1</v>
      </c>
      <c r="H219" s="124" t="s">
        <v>363</v>
      </c>
    </row>
    <row r="220" spans="1:8" s="68" customFormat="1" ht="15" customHeight="1" outlineLevel="1" x14ac:dyDescent="0.25">
      <c r="A220" s="100"/>
      <c r="B220" s="231" t="s">
        <v>166</v>
      </c>
      <c r="C220" s="232"/>
      <c r="D220" s="232"/>
      <c r="E220" s="232"/>
      <c r="F220" s="232"/>
      <c r="G220" s="232"/>
      <c r="H220" s="233"/>
    </row>
    <row r="221" spans="1:8" s="68" customFormat="1" ht="67.5" outlineLevel="2" x14ac:dyDescent="0.25">
      <c r="A221" s="92" t="s">
        <v>425</v>
      </c>
      <c r="B221" s="95" t="s">
        <v>265</v>
      </c>
      <c r="C221" s="126" t="s">
        <v>167</v>
      </c>
      <c r="D221" s="3">
        <v>10</v>
      </c>
      <c r="E221" s="3" t="s">
        <v>266</v>
      </c>
      <c r="F221" s="3">
        <v>22.2</v>
      </c>
      <c r="G221" s="179">
        <f>15/17.6</f>
        <v>0.85</v>
      </c>
      <c r="H221" s="124" t="s">
        <v>363</v>
      </c>
    </row>
    <row r="222" spans="1:8" s="68" customFormat="1" ht="54" outlineLevel="2" x14ac:dyDescent="0.25">
      <c r="A222" s="92" t="s">
        <v>426</v>
      </c>
      <c r="B222" s="95" t="s">
        <v>267</v>
      </c>
      <c r="C222" s="126"/>
      <c r="D222" s="3">
        <v>1</v>
      </c>
      <c r="E222" s="3">
        <v>1</v>
      </c>
      <c r="F222" s="3">
        <v>1</v>
      </c>
      <c r="G222" s="179">
        <v>1</v>
      </c>
      <c r="H222" s="124" t="s">
        <v>363</v>
      </c>
    </row>
    <row r="223" spans="1:8" s="68" customFormat="1" ht="15" customHeight="1" outlineLevel="1" x14ac:dyDescent="0.25">
      <c r="A223" s="100"/>
      <c r="B223" s="231" t="s">
        <v>412</v>
      </c>
      <c r="C223" s="232"/>
      <c r="D223" s="232"/>
      <c r="E223" s="232"/>
      <c r="F223" s="232"/>
      <c r="G223" s="232"/>
      <c r="H223" s="233"/>
    </row>
    <row r="224" spans="1:8" s="68" customFormat="1" ht="40.5" outlineLevel="2" x14ac:dyDescent="0.25">
      <c r="A224" s="92" t="s">
        <v>428</v>
      </c>
      <c r="B224" s="95" t="s">
        <v>268</v>
      </c>
      <c r="C224" s="126" t="s">
        <v>255</v>
      </c>
      <c r="D224" s="186">
        <v>77.8</v>
      </c>
      <c r="E224" s="186">
        <v>85</v>
      </c>
      <c r="F224" s="3">
        <v>100</v>
      </c>
      <c r="G224" s="179">
        <f>F224/E224</f>
        <v>1.18</v>
      </c>
      <c r="H224" s="124" t="s">
        <v>363</v>
      </c>
    </row>
    <row r="225" spans="1:8" s="68" customFormat="1" ht="67.5" outlineLevel="2" x14ac:dyDescent="0.25">
      <c r="A225" s="92" t="s">
        <v>429</v>
      </c>
      <c r="B225" s="95" t="s">
        <v>168</v>
      </c>
      <c r="C225" s="126" t="s">
        <v>69</v>
      </c>
      <c r="D225" s="187">
        <v>100</v>
      </c>
      <c r="E225" s="187">
        <v>100</v>
      </c>
      <c r="F225" s="3">
        <v>100</v>
      </c>
      <c r="G225" s="179">
        <f>F225/E225</f>
        <v>1</v>
      </c>
      <c r="H225" s="124" t="s">
        <v>363</v>
      </c>
    </row>
    <row r="226" spans="1:8" s="68" customFormat="1" ht="40.5" outlineLevel="2" x14ac:dyDescent="0.25">
      <c r="A226" s="92" t="s">
        <v>430</v>
      </c>
      <c r="B226" s="95" t="s">
        <v>269</v>
      </c>
      <c r="C226" s="126"/>
      <c r="D226" s="187">
        <v>1</v>
      </c>
      <c r="E226" s="187">
        <v>1</v>
      </c>
      <c r="F226" s="187">
        <v>1</v>
      </c>
      <c r="G226" s="179">
        <f>F226/E226</f>
        <v>1</v>
      </c>
      <c r="H226" s="124" t="s">
        <v>363</v>
      </c>
    </row>
    <row r="227" spans="1:8" s="68" customFormat="1" ht="40.5" outlineLevel="2" x14ac:dyDescent="0.25">
      <c r="A227" s="157" t="s">
        <v>431</v>
      </c>
      <c r="B227" s="95" t="s">
        <v>270</v>
      </c>
      <c r="C227" s="3" t="s">
        <v>102</v>
      </c>
      <c r="D227" s="187">
        <v>373</v>
      </c>
      <c r="E227" s="187">
        <v>515</v>
      </c>
      <c r="F227" s="3">
        <v>844</v>
      </c>
      <c r="G227" s="179">
        <f>F227/E227</f>
        <v>1.64</v>
      </c>
      <c r="H227" s="124" t="s">
        <v>363</v>
      </c>
    </row>
    <row r="228" spans="1:8" s="33" customFormat="1" ht="18" customHeight="1" x14ac:dyDescent="0.25">
      <c r="A228" s="1" t="s">
        <v>94</v>
      </c>
      <c r="B228" s="227" t="s">
        <v>665</v>
      </c>
      <c r="C228" s="228"/>
      <c r="D228" s="228"/>
      <c r="E228" s="228"/>
      <c r="F228" s="228"/>
      <c r="G228" s="228"/>
      <c r="H228" s="229"/>
    </row>
    <row r="229" spans="1:8" s="68" customFormat="1" ht="67.5" outlineLevel="1" x14ac:dyDescent="0.25">
      <c r="A229" s="92" t="s">
        <v>77</v>
      </c>
      <c r="B229" s="95" t="s">
        <v>271</v>
      </c>
      <c r="C229" s="3" t="s">
        <v>69</v>
      </c>
      <c r="D229" s="3">
        <v>107</v>
      </c>
      <c r="E229" s="99" t="s">
        <v>165</v>
      </c>
      <c r="F229" s="103">
        <v>1.0580000000000001</v>
      </c>
      <c r="G229" s="180">
        <v>1</v>
      </c>
      <c r="H229" s="124" t="s">
        <v>363</v>
      </c>
    </row>
    <row r="230" spans="1:8" s="68" customFormat="1" ht="40.5" outlineLevel="1" x14ac:dyDescent="0.25">
      <c r="A230" s="92" t="s">
        <v>78</v>
      </c>
      <c r="B230" s="95" t="s">
        <v>272</v>
      </c>
      <c r="C230" s="181"/>
      <c r="D230" s="182">
        <v>1</v>
      </c>
      <c r="E230" s="182">
        <v>1</v>
      </c>
      <c r="F230" s="183">
        <v>1</v>
      </c>
      <c r="G230" s="180">
        <v>1</v>
      </c>
      <c r="H230" s="124" t="s">
        <v>363</v>
      </c>
    </row>
    <row r="231" spans="1:8" s="68" customFormat="1" ht="67.5" outlineLevel="1" x14ac:dyDescent="0.25">
      <c r="A231" s="92" t="s">
        <v>79</v>
      </c>
      <c r="B231" s="95" t="s">
        <v>273</v>
      </c>
      <c r="C231" s="184" t="s">
        <v>174</v>
      </c>
      <c r="D231" s="3">
        <v>82</v>
      </c>
      <c r="E231" s="3">
        <v>84</v>
      </c>
      <c r="F231" s="3">
        <v>87.5</v>
      </c>
      <c r="G231" s="103">
        <f>F231/E231</f>
        <v>1.042</v>
      </c>
      <c r="H231" s="126" t="s">
        <v>668</v>
      </c>
    </row>
    <row r="232" spans="1:8" s="172" customFormat="1" x14ac:dyDescent="0.25">
      <c r="A232" s="1" t="s">
        <v>669</v>
      </c>
      <c r="B232" s="227" t="s">
        <v>670</v>
      </c>
      <c r="C232" s="228"/>
      <c r="D232" s="228"/>
      <c r="E232" s="228"/>
      <c r="F232" s="228"/>
      <c r="G232" s="228"/>
      <c r="H232" s="229"/>
    </row>
    <row r="233" spans="1:8" s="172" customFormat="1" ht="54" outlineLevel="1" x14ac:dyDescent="0.25">
      <c r="A233" s="92">
        <v>1</v>
      </c>
      <c r="B233" s="93" t="s">
        <v>693</v>
      </c>
      <c r="C233" s="3" t="s">
        <v>69</v>
      </c>
      <c r="D233" s="124">
        <v>1</v>
      </c>
      <c r="E233" s="124">
        <v>4</v>
      </c>
      <c r="F233" s="165">
        <f>3*4/2.24</f>
        <v>5.4</v>
      </c>
      <c r="G233" s="101">
        <f>F233/E233</f>
        <v>1.35</v>
      </c>
      <c r="H233" s="207" t="s">
        <v>346</v>
      </c>
    </row>
    <row r="234" spans="1:8" s="172" customFormat="1" ht="54" outlineLevel="1" x14ac:dyDescent="0.25">
      <c r="A234" s="92">
        <v>2</v>
      </c>
      <c r="B234" s="93" t="s">
        <v>694</v>
      </c>
      <c r="C234" s="3" t="s">
        <v>69</v>
      </c>
      <c r="D234" s="124">
        <v>2</v>
      </c>
      <c r="E234" s="124">
        <v>3</v>
      </c>
      <c r="F234" s="165">
        <v>7.7</v>
      </c>
      <c r="G234" s="101">
        <f>F234/E234</f>
        <v>2.57</v>
      </c>
      <c r="H234" s="207" t="s">
        <v>346</v>
      </c>
    </row>
    <row r="235" spans="1:8" s="172" customFormat="1" ht="54" outlineLevel="1" x14ac:dyDescent="0.25">
      <c r="A235" s="92">
        <v>3</v>
      </c>
      <c r="B235" s="93" t="s">
        <v>695</v>
      </c>
      <c r="C235" s="3" t="s">
        <v>69</v>
      </c>
      <c r="D235" s="206" t="s">
        <v>697</v>
      </c>
      <c r="E235" s="206" t="s">
        <v>697</v>
      </c>
      <c r="F235" s="206">
        <v>0</v>
      </c>
      <c r="G235" s="101">
        <v>1</v>
      </c>
      <c r="H235" s="207" t="s">
        <v>346</v>
      </c>
    </row>
    <row r="236" spans="1:8" s="172" customFormat="1" ht="54" outlineLevel="1" x14ac:dyDescent="0.25">
      <c r="A236" s="92">
        <v>4</v>
      </c>
      <c r="B236" s="93" t="s">
        <v>696</v>
      </c>
      <c r="C236" s="3" t="s">
        <v>69</v>
      </c>
      <c r="D236" s="206" t="s">
        <v>698</v>
      </c>
      <c r="E236" s="206" t="s">
        <v>698</v>
      </c>
      <c r="F236" s="206">
        <v>5</v>
      </c>
      <c r="G236" s="101">
        <v>1</v>
      </c>
      <c r="H236" s="207" t="s">
        <v>346</v>
      </c>
    </row>
    <row r="237" spans="1:8" s="68" customFormat="1" x14ac:dyDescent="0.25">
      <c r="A237" s="173"/>
      <c r="B237" s="174"/>
      <c r="C237" s="175"/>
      <c r="D237" s="175"/>
      <c r="E237" s="175"/>
      <c r="F237" s="175"/>
      <c r="G237" s="176"/>
      <c r="H237" s="177"/>
    </row>
    <row r="238" spans="1:8" s="68" customFormat="1" x14ac:dyDescent="0.25">
      <c r="A238" s="173"/>
      <c r="B238" s="174"/>
      <c r="C238" s="175"/>
      <c r="D238" s="175"/>
      <c r="E238" s="175"/>
      <c r="F238" s="175"/>
      <c r="G238" s="176"/>
      <c r="H238" s="177"/>
    </row>
    <row r="239" spans="1:8" s="33" customFormat="1" x14ac:dyDescent="0.25"/>
    <row r="250" ht="12" customHeight="1" x14ac:dyDescent="0.25"/>
  </sheetData>
  <mergeCells count="62">
    <mergeCell ref="B228:H228"/>
    <mergeCell ref="B215:H215"/>
    <mergeCell ref="B220:H220"/>
    <mergeCell ref="B223:H223"/>
    <mergeCell ref="B232:H232"/>
    <mergeCell ref="B193:H193"/>
    <mergeCell ref="B194:H194"/>
    <mergeCell ref="B214:H214"/>
    <mergeCell ref="B203:H203"/>
    <mergeCell ref="B208:H208"/>
    <mergeCell ref="F4:F5"/>
    <mergeCell ref="B35:H35"/>
    <mergeCell ref="B36:H36"/>
    <mergeCell ref="B137:H137"/>
    <mergeCell ref="B138:H138"/>
    <mergeCell ref="B102:H102"/>
    <mergeCell ref="B107:H107"/>
    <mergeCell ref="B101:H101"/>
    <mergeCell ref="B99:H99"/>
    <mergeCell ref="B134:H134"/>
    <mergeCell ref="B111:H111"/>
    <mergeCell ref="B73:H73"/>
    <mergeCell ref="B126:H126"/>
    <mergeCell ref="B132:H132"/>
    <mergeCell ref="B121:H121"/>
    <mergeCell ref="B177:H177"/>
    <mergeCell ref="B167:H167"/>
    <mergeCell ref="B170:H170"/>
    <mergeCell ref="B166:H166"/>
    <mergeCell ref="B153:H153"/>
    <mergeCell ref="A1:H1"/>
    <mergeCell ref="A2:H2"/>
    <mergeCell ref="G4:G5"/>
    <mergeCell ref="B80:H80"/>
    <mergeCell ref="B55:H55"/>
    <mergeCell ref="B76:H76"/>
    <mergeCell ref="B63:H63"/>
    <mergeCell ref="B6:H6"/>
    <mergeCell ref="B78:H78"/>
    <mergeCell ref="B11:H11"/>
    <mergeCell ref="B12:H12"/>
    <mergeCell ref="B24:H24"/>
    <mergeCell ref="B28:H28"/>
    <mergeCell ref="B33:H33"/>
    <mergeCell ref="B40:H40"/>
    <mergeCell ref="B44:H44"/>
    <mergeCell ref="B183:H183"/>
    <mergeCell ref="B188:H188"/>
    <mergeCell ref="B81:H81"/>
    <mergeCell ref="A4:A5"/>
    <mergeCell ref="B4:B5"/>
    <mergeCell ref="C4:C5"/>
    <mergeCell ref="D4:D5"/>
    <mergeCell ref="E4:E5"/>
    <mergeCell ref="B56:H56"/>
    <mergeCell ref="B51:H51"/>
    <mergeCell ref="H4:H5"/>
    <mergeCell ref="B69:H69"/>
    <mergeCell ref="B95:H95"/>
    <mergeCell ref="B92:H92"/>
    <mergeCell ref="B145:H145"/>
    <mergeCell ref="B125:H125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Бр</vt:lpstr>
      <vt:lpstr>Показатели Бр</vt:lpstr>
      <vt:lpstr>Бр!Заголовки_для_печати</vt:lpstr>
      <vt:lpstr>Бр!Область_печати</vt:lpstr>
      <vt:lpstr>'Показатели Бр'!Область_печати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Кононенко</cp:lastModifiedBy>
  <cp:lastPrinted>2019-08-22T05:29:29Z</cp:lastPrinted>
  <dcterms:created xsi:type="dcterms:W3CDTF">2014-04-24T03:02:31Z</dcterms:created>
  <dcterms:modified xsi:type="dcterms:W3CDTF">2019-08-22T05:36:27Z</dcterms:modified>
</cp:coreProperties>
</file>